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P:\UAG\CPL\CPL\Licitações\Pregão\Pregão Eletrônico\2025\PE 90016.2025 - Serviços de Copeiragem e Garçom, com insumos\"/>
    </mc:Choice>
  </mc:AlternateContent>
  <xr:revisionPtr revIDLastSave="0" documentId="8_{0E9B4338-4830-4469-BABE-470C8068431A}" xr6:coauthVersionLast="47" xr6:coauthVersionMax="47" xr10:uidLastSave="{00000000-0000-0000-0000-000000000000}"/>
  <bookViews>
    <workbookView xWindow="2505" yWindow="3210" windowWidth="21600" windowHeight="11385" firstSheet="13" activeTab="13" xr2:uid="{00000000-000D-0000-FFFF-FFFF00000000}"/>
  </bookViews>
  <sheets>
    <sheet name="Descrição postos" sheetId="165" r:id="rId1"/>
    <sheet name="Tarifas 2025" sheetId="167" r:id="rId2"/>
    <sheet name="Escalas, VT e VA" sheetId="95" r:id="rId3"/>
    <sheet name="Materiais sob demanda" sheetId="161" r:id="rId4"/>
    <sheet name="Uniformes" sheetId="121" r:id="rId5"/>
    <sheet name="Encargos Sociais" sheetId="78" r:id="rId6"/>
    <sheet name="1_Garçon" sheetId="170" r:id="rId7"/>
    <sheet name="2_Copeiro" sheetId="172" r:id="rId8"/>
    <sheet name="RESUMO_Preços" sheetId="84" r:id="rId9"/>
    <sheet name="Comparativos" sheetId="58" state="hidden" r:id="rId10"/>
    <sheet name="Comparativo" sheetId="158" state="hidden" r:id="rId11"/>
    <sheet name="Exemplo_Conf_PIS_E_Cofins_LP" sheetId="87" state="hidden" r:id="rId12"/>
    <sheet name="Exemplo_Preenchimento_PIS_e_Co" sheetId="88" state="hidden" r:id="rId13"/>
    <sheet name="Conta Vinculada" sheetId="83" r:id="rId14"/>
  </sheets>
  <definedNames>
    <definedName name="_xlnm._FilterDatabase" localSheetId="1" hidden="1">'Tarifas 2025'!$A$4:$H$23</definedName>
    <definedName name="AGENTE_D_VAZIA" localSheetId="6">#REF!</definedName>
    <definedName name="AGENTE_D_VAZIA" localSheetId="7">#REF!</definedName>
    <definedName name="AGENTE_D_VAZIA" localSheetId="13">#REF!</definedName>
    <definedName name="AGENTE_D_VAZIA" localSheetId="5">#REF!</definedName>
    <definedName name="AGENTE_D_VAZIA" localSheetId="2">#REF!</definedName>
    <definedName name="AGENTE_D_VAZIA" localSheetId="11">#REF!</definedName>
    <definedName name="AGENTE_D_VAZIA" localSheetId="12">#REF!</definedName>
    <definedName name="AGENTE_D_VAZIA" localSheetId="8">#REF!</definedName>
    <definedName name="AGENTE_D_VAZIA" localSheetId="4">#REF!</definedName>
    <definedName name="AGENTE_D_VAZIA">#REF!</definedName>
    <definedName name="_xlnm.Print_Area" localSheetId="6">'1_Garçon'!$B$2:$E$87</definedName>
    <definedName name="_xlnm.Print_Area" localSheetId="7">'2_Copeiro'!$B$2:$E$86</definedName>
    <definedName name="_xlnm.Print_Area" localSheetId="10">Comparativo!$C$3:$N$8,Comparativo!$C$14:$O$28</definedName>
    <definedName name="_xlnm.Print_Area" localSheetId="9">Comparativos!$B$12:$V$31,Comparativos!$B$3:$M$8</definedName>
    <definedName name="_xlnm.Print_Area" localSheetId="13">'Conta Vinculada'!$B$2:$H$9</definedName>
    <definedName name="_xlnm.Print_Area" localSheetId="0">'Descrição postos'!$B$2:$E$7</definedName>
    <definedName name="_xlnm.Print_Area" localSheetId="5">'Encargos Sociais'!$B$2:$W$108</definedName>
    <definedName name="_xlnm.Print_Area" localSheetId="2">'Escalas, VT e VA'!$B$2:$K$32</definedName>
    <definedName name="_xlnm.Print_Area" localSheetId="11">Exemplo_Conf_PIS_E_Cofins_LP!$F$4:$M$18</definedName>
    <definedName name="_xlnm.Print_Area" localSheetId="12">Exemplo_Preenchimento_PIS_e_Co!$F$4:$Z$19</definedName>
    <definedName name="_xlnm.Print_Area" localSheetId="8">RESUMO_Preços!$B$1:$I$67</definedName>
    <definedName name="_xlnm.Print_Area" localSheetId="4">Uniformes!$D$3:$I$39</definedName>
    <definedName name="asdasd" localSheetId="6">#REF!</definedName>
    <definedName name="asdasd" localSheetId="7">#REF!</definedName>
    <definedName name="asdasd">#REF!</definedName>
    <definedName name="asdasdas" localSheetId="6">#REF!</definedName>
    <definedName name="asdasdas" localSheetId="7">#REF!</definedName>
    <definedName name="asdasdas">#REF!</definedName>
    <definedName name="CPMF" localSheetId="6">#REF!</definedName>
    <definedName name="CPMF" localSheetId="7">#REF!</definedName>
    <definedName name="CPMF">#REF!</definedName>
    <definedName name="dedede" localSheetId="6">#REF!</definedName>
    <definedName name="dedede" localSheetId="7">#REF!</definedName>
    <definedName name="dedede" localSheetId="13">#REF!</definedName>
    <definedName name="dedede" localSheetId="5">#REF!</definedName>
    <definedName name="dedede" localSheetId="2">#REF!</definedName>
    <definedName name="dedede" localSheetId="11">#REF!</definedName>
    <definedName name="dedede" localSheetId="12">#REF!</definedName>
    <definedName name="dedede" localSheetId="8">#REF!</definedName>
    <definedName name="dedede" localSheetId="4">#REF!</definedName>
    <definedName name="dedede">#REF!</definedName>
    <definedName name="dia" localSheetId="6">#REF!</definedName>
    <definedName name="dia" localSheetId="7">#REF!</definedName>
    <definedName name="dia" localSheetId="13">#REF!</definedName>
    <definedName name="dia" localSheetId="5">#REF!</definedName>
    <definedName name="dia" localSheetId="2">#REF!</definedName>
    <definedName name="dia" localSheetId="11">#REF!</definedName>
    <definedName name="dia" localSheetId="12">#REF!</definedName>
    <definedName name="dia" localSheetId="8">#REF!</definedName>
    <definedName name="dia" localSheetId="4">#REF!</definedName>
    <definedName name="dia">#REF!</definedName>
    <definedName name="Encarregado_Novo" localSheetId="6">#REF!</definedName>
    <definedName name="Encarregado_Novo" localSheetId="7">#REF!</definedName>
    <definedName name="Encarregado_Novo">#REF!</definedName>
    <definedName name="Escala_Oficial" localSheetId="6">#REF!</definedName>
    <definedName name="Escala_Oficial" localSheetId="7">#REF!</definedName>
    <definedName name="Escala_Oficial" localSheetId="13">#REF!</definedName>
    <definedName name="Escala_Oficial" localSheetId="5">#REF!</definedName>
    <definedName name="Escala_Oficial" localSheetId="2">#REF!</definedName>
    <definedName name="Escala_Oficial" localSheetId="11">#REF!</definedName>
    <definedName name="Escala_Oficial" localSheetId="12">#REF!</definedName>
    <definedName name="Escala_Oficial" localSheetId="8">#REF!</definedName>
    <definedName name="Escala_Oficial" localSheetId="4">#REF!</definedName>
    <definedName name="Escala_Oficial">#REF!</definedName>
    <definedName name="Excel_BuiltIn_Print_Area_1" localSheetId="6">#REF!</definedName>
    <definedName name="Excel_BuiltIn_Print_Area_1" localSheetId="7">#REF!</definedName>
    <definedName name="Excel_BuiltIn_Print_Area_1" localSheetId="13">#REF!</definedName>
    <definedName name="Excel_BuiltIn_Print_Area_1" localSheetId="5">#REF!</definedName>
    <definedName name="Excel_BuiltIn_Print_Area_1" localSheetId="2">#REF!</definedName>
    <definedName name="Excel_BuiltIn_Print_Area_1" localSheetId="11">#REF!</definedName>
    <definedName name="Excel_BuiltIn_Print_Area_1" localSheetId="12">#REF!</definedName>
    <definedName name="Excel_BuiltIn_Print_Area_1" localSheetId="8">#REF!</definedName>
    <definedName name="Excel_BuiltIn_Print_Area_1" localSheetId="4">#REF!</definedName>
    <definedName name="Excel_BuiltIn_Print_Area_1">#REF!</definedName>
    <definedName name="Excel_BuiltIn_Print_Area_1_1" localSheetId="6">#REF!</definedName>
    <definedName name="Excel_BuiltIn_Print_Area_1_1" localSheetId="7">#REF!</definedName>
    <definedName name="Excel_BuiltIn_Print_Area_1_1" localSheetId="13">#REF!</definedName>
    <definedName name="Excel_BuiltIn_Print_Area_1_1" localSheetId="5">#REF!</definedName>
    <definedName name="Excel_BuiltIn_Print_Area_1_1" localSheetId="2">#REF!</definedName>
    <definedName name="Excel_BuiltIn_Print_Area_1_1" localSheetId="11">#REF!</definedName>
    <definedName name="Excel_BuiltIn_Print_Area_1_1" localSheetId="12">#REF!</definedName>
    <definedName name="Excel_BuiltIn_Print_Area_1_1" localSheetId="8">#REF!</definedName>
    <definedName name="Excel_BuiltIn_Print_Area_1_1" localSheetId="4">#REF!</definedName>
    <definedName name="Excel_BuiltIn_Print_Area_1_1">#REF!</definedName>
    <definedName name="Excel_BuiltIn_Print_Area_1_1_1" localSheetId="6">#REF!</definedName>
    <definedName name="Excel_BuiltIn_Print_Area_1_1_1" localSheetId="7">#REF!</definedName>
    <definedName name="Excel_BuiltIn_Print_Area_1_1_1" localSheetId="13">#REF!</definedName>
    <definedName name="Excel_BuiltIn_Print_Area_1_1_1" localSheetId="5">#REF!</definedName>
    <definedName name="Excel_BuiltIn_Print_Area_1_1_1" localSheetId="2">#REF!</definedName>
    <definedName name="Excel_BuiltIn_Print_Area_1_1_1" localSheetId="11">#REF!</definedName>
    <definedName name="Excel_BuiltIn_Print_Area_1_1_1" localSheetId="12">#REF!</definedName>
    <definedName name="Excel_BuiltIn_Print_Area_1_1_1" localSheetId="8">#REF!</definedName>
    <definedName name="Excel_BuiltIn_Print_Area_1_1_1" localSheetId="4">#REF!</definedName>
    <definedName name="Excel_BuiltIn_Print_Area_1_1_1">#REF!</definedName>
    <definedName name="Excel_BuiltIn_Print_Area_1_1_1_1" localSheetId="6">#REF!</definedName>
    <definedName name="Excel_BuiltIn_Print_Area_1_1_1_1" localSheetId="7">#REF!</definedName>
    <definedName name="Excel_BuiltIn_Print_Area_1_1_1_1" localSheetId="13">#REF!</definedName>
    <definedName name="Excel_BuiltIn_Print_Area_1_1_1_1" localSheetId="5">#REF!</definedName>
    <definedName name="Excel_BuiltIn_Print_Area_1_1_1_1" localSheetId="2">#REF!</definedName>
    <definedName name="Excel_BuiltIn_Print_Area_1_1_1_1" localSheetId="11">#REF!</definedName>
    <definedName name="Excel_BuiltIn_Print_Area_1_1_1_1" localSheetId="12">#REF!</definedName>
    <definedName name="Excel_BuiltIn_Print_Area_1_1_1_1" localSheetId="8">#REF!</definedName>
    <definedName name="Excel_BuiltIn_Print_Area_1_1_1_1" localSheetId="4">#REF!</definedName>
    <definedName name="Excel_BuiltIn_Print_Area_1_1_1_1">#REF!</definedName>
    <definedName name="Excel_BuiltIn_Print_Area_2" localSheetId="6">#REF!</definedName>
    <definedName name="Excel_BuiltIn_Print_Area_2" localSheetId="7">#REF!</definedName>
    <definedName name="Excel_BuiltIn_Print_Area_2">#REF!</definedName>
    <definedName name="Excel_BuiltIn_Print_Area_3_1" localSheetId="6">#REF!</definedName>
    <definedName name="Excel_BuiltIn_Print_Area_3_1" localSheetId="7">#REF!</definedName>
    <definedName name="Excel_BuiltIn_Print_Area_3_1" localSheetId="13">#REF!</definedName>
    <definedName name="Excel_BuiltIn_Print_Area_3_1" localSheetId="5">#REF!</definedName>
    <definedName name="Excel_BuiltIn_Print_Area_3_1" localSheetId="2">#REF!</definedName>
    <definedName name="Excel_BuiltIn_Print_Area_3_1" localSheetId="11">#REF!</definedName>
    <definedName name="Excel_BuiltIn_Print_Area_3_1" localSheetId="12">#REF!</definedName>
    <definedName name="Excel_BuiltIn_Print_Area_3_1" localSheetId="8">#REF!</definedName>
    <definedName name="Excel_BuiltIn_Print_Area_3_1" localSheetId="4">#REF!</definedName>
    <definedName name="Excel_BuiltIn_Print_Area_3_1">#REF!</definedName>
    <definedName name="Excel_BuiltIn_Print_Area_4_1" localSheetId="6">#REF!</definedName>
    <definedName name="Excel_BuiltIn_Print_Area_4_1" localSheetId="7">#REF!</definedName>
    <definedName name="Excel_BuiltIn_Print_Area_4_1" localSheetId="13">#REF!</definedName>
    <definedName name="Excel_BuiltIn_Print_Area_4_1" localSheetId="5">#REF!</definedName>
    <definedName name="Excel_BuiltIn_Print_Area_4_1" localSheetId="2">#REF!</definedName>
    <definedName name="Excel_BuiltIn_Print_Area_4_1" localSheetId="11">#REF!</definedName>
    <definedName name="Excel_BuiltIn_Print_Area_4_1" localSheetId="12">#REF!</definedName>
    <definedName name="Excel_BuiltIn_Print_Area_4_1" localSheetId="8">#REF!</definedName>
    <definedName name="Excel_BuiltIn_Print_Area_4_1" localSheetId="4">#REF!</definedName>
    <definedName name="Excel_BuiltIn_Print_Area_4_1">#REF!</definedName>
    <definedName name="Excel_BuiltIn_Print_Area_5" localSheetId="6">#REF!</definedName>
    <definedName name="Excel_BuiltIn_Print_Area_5" localSheetId="7">#REF!</definedName>
    <definedName name="Excel_BuiltIn_Print_Area_5">#REF!</definedName>
    <definedName name="Excel_BuiltIn_Print_Area_5_1" localSheetId="6">#REF!</definedName>
    <definedName name="Excel_BuiltIn_Print_Area_5_1" localSheetId="7">#REF!</definedName>
    <definedName name="Excel_BuiltIn_Print_Area_5_1">#REF!</definedName>
    <definedName name="Excel_BuiltIn_Print_Area_6" localSheetId="6">#REF!</definedName>
    <definedName name="Excel_BuiltIn_Print_Area_6" localSheetId="7">#REF!</definedName>
    <definedName name="Excel_BuiltIn_Print_Area_6">#REF!</definedName>
    <definedName name="Excel_BuiltIn_Print_Area_6_1" localSheetId="6">#REF!</definedName>
    <definedName name="Excel_BuiltIn_Print_Area_6_1" localSheetId="7">#REF!</definedName>
    <definedName name="Excel_BuiltIn_Print_Area_6_1" localSheetId="13">#REF!</definedName>
    <definedName name="Excel_BuiltIn_Print_Area_6_1" localSheetId="5">#REF!</definedName>
    <definedName name="Excel_BuiltIn_Print_Area_6_1" localSheetId="2">#REF!</definedName>
    <definedName name="Excel_BuiltIn_Print_Area_6_1" localSheetId="11">#REF!</definedName>
    <definedName name="Excel_BuiltIn_Print_Area_6_1" localSheetId="12">#REF!</definedName>
    <definedName name="Excel_BuiltIn_Print_Area_6_1" localSheetId="8">#REF!</definedName>
    <definedName name="Excel_BuiltIn_Print_Area_6_1" localSheetId="4">#REF!</definedName>
    <definedName name="Excel_BuiltIn_Print_Area_6_1">#REF!</definedName>
    <definedName name="Excel_BuiltIn_Print_Area_7_1" localSheetId="6">#REF!</definedName>
    <definedName name="Excel_BuiltIn_Print_Area_7_1" localSheetId="7">#REF!</definedName>
    <definedName name="Excel_BuiltIn_Print_Area_7_1" localSheetId="13">#REF!</definedName>
    <definedName name="Excel_BuiltIn_Print_Area_7_1" localSheetId="5">#REF!</definedName>
    <definedName name="Excel_BuiltIn_Print_Area_7_1" localSheetId="2">#REF!</definedName>
    <definedName name="Excel_BuiltIn_Print_Area_7_1" localSheetId="11">#REF!</definedName>
    <definedName name="Excel_BuiltIn_Print_Area_7_1" localSheetId="12">#REF!</definedName>
    <definedName name="Excel_BuiltIn_Print_Area_7_1" localSheetId="8">#REF!</definedName>
    <definedName name="Excel_BuiltIn_Print_Area_7_1" localSheetId="4">#REF!</definedName>
    <definedName name="Excel_BuiltIn_Print_Area_7_1">#REF!</definedName>
    <definedName name="Excel_BuiltIn_Print_Area_8_1" localSheetId="6">#REF!</definedName>
    <definedName name="Excel_BuiltIn_Print_Area_8_1" localSheetId="7">#REF!</definedName>
    <definedName name="Excel_BuiltIn_Print_Area_8_1" localSheetId="13">#REF!</definedName>
    <definedName name="Excel_BuiltIn_Print_Area_8_1" localSheetId="5">#REF!</definedName>
    <definedName name="Excel_BuiltIn_Print_Area_8_1" localSheetId="2">#REF!</definedName>
    <definedName name="Excel_BuiltIn_Print_Area_8_1" localSheetId="11">#REF!</definedName>
    <definedName name="Excel_BuiltIn_Print_Area_8_1" localSheetId="12">#REF!</definedName>
    <definedName name="Excel_BuiltIn_Print_Area_8_1" localSheetId="8">#REF!</definedName>
    <definedName name="Excel_BuiltIn_Print_Area_8_1" localSheetId="4">#REF!</definedName>
    <definedName name="Excel_BuiltIn_Print_Area_8_1">#REF!</definedName>
    <definedName name="Excel_BuiltIn_Print_Titles_1">"$#REF!.$A$1:$AMJ$5"</definedName>
    <definedName name="Excel_BuiltIn_Print_Titles_1_1" localSheetId="6">#REF!</definedName>
    <definedName name="Excel_BuiltIn_Print_Titles_1_1" localSheetId="7">#REF!</definedName>
    <definedName name="Excel_BuiltIn_Print_Titles_1_1" localSheetId="13">#REF!</definedName>
    <definedName name="Excel_BuiltIn_Print_Titles_1_1" localSheetId="5">#REF!</definedName>
    <definedName name="Excel_BuiltIn_Print_Titles_1_1" localSheetId="2">#REF!</definedName>
    <definedName name="Excel_BuiltIn_Print_Titles_1_1" localSheetId="11">#REF!</definedName>
    <definedName name="Excel_BuiltIn_Print_Titles_1_1" localSheetId="12">#REF!</definedName>
    <definedName name="Excel_BuiltIn_Print_Titles_1_1" localSheetId="8">#REF!</definedName>
    <definedName name="Excel_BuiltIn_Print_Titles_1_1" localSheetId="4">#REF!</definedName>
    <definedName name="Excel_BuiltIn_Print_Titles_1_1">#REF!</definedName>
    <definedName name="Excel_BuiltIn_Print_Titles_1_1_1" localSheetId="6">#REF!</definedName>
    <definedName name="Excel_BuiltIn_Print_Titles_1_1_1" localSheetId="7">#REF!</definedName>
    <definedName name="Excel_BuiltIn_Print_Titles_1_1_1" localSheetId="13">#REF!</definedName>
    <definedName name="Excel_BuiltIn_Print_Titles_1_1_1" localSheetId="5">#REF!</definedName>
    <definedName name="Excel_BuiltIn_Print_Titles_1_1_1" localSheetId="2">#REF!</definedName>
    <definedName name="Excel_BuiltIn_Print_Titles_1_1_1" localSheetId="11">#REF!</definedName>
    <definedName name="Excel_BuiltIn_Print_Titles_1_1_1" localSheetId="12">#REF!</definedName>
    <definedName name="Excel_BuiltIn_Print_Titles_1_1_1" localSheetId="8">#REF!</definedName>
    <definedName name="Excel_BuiltIn_Print_Titles_1_1_1" localSheetId="4">#REF!</definedName>
    <definedName name="Excel_BuiltIn_Print_Titles_1_1_1">#REF!</definedName>
    <definedName name="fdkewfjnewfnew" localSheetId="6">#REF!</definedName>
    <definedName name="fdkewfjnewfnew" localSheetId="7">#REF!</definedName>
    <definedName name="fdkewfjnewfnew" localSheetId="13">#REF!</definedName>
    <definedName name="fdkewfjnewfnew" localSheetId="5">#REF!</definedName>
    <definedName name="fdkewfjnewfnew" localSheetId="2">#REF!</definedName>
    <definedName name="fdkewfjnewfnew" localSheetId="11">#REF!</definedName>
    <definedName name="fdkewfjnewfnew" localSheetId="12">#REF!</definedName>
    <definedName name="fdkewfjnewfnew" localSheetId="8">#REF!</definedName>
    <definedName name="fdkewfjnewfnew" localSheetId="4">#REF!</definedName>
    <definedName name="fdkewfjnewfnew">#REF!</definedName>
    <definedName name="jyfrmujyrm" localSheetId="6">#REF!</definedName>
    <definedName name="jyfrmujyrm" localSheetId="7">#REF!</definedName>
    <definedName name="jyfrmujyrm" localSheetId="13">#REF!</definedName>
    <definedName name="jyfrmujyrm" localSheetId="5">#REF!</definedName>
    <definedName name="jyfrmujyrm" localSheetId="2">#REF!</definedName>
    <definedName name="jyfrmujyrm" localSheetId="11">#REF!</definedName>
    <definedName name="jyfrmujyrm" localSheetId="12">#REF!</definedName>
    <definedName name="jyfrmujyrm" localSheetId="8">#REF!</definedName>
    <definedName name="jyfrmujyrm" localSheetId="4">#REF!</definedName>
    <definedName name="jyfrmujyrm">#REF!</definedName>
    <definedName name="lista1" localSheetId="6">#REF!</definedName>
    <definedName name="lista1" localSheetId="7">#REF!</definedName>
    <definedName name="lista1" localSheetId="13">#REF!</definedName>
    <definedName name="lista1" localSheetId="5">#REF!</definedName>
    <definedName name="lista1" localSheetId="2">#REF!</definedName>
    <definedName name="lista1" localSheetId="11">#REF!</definedName>
    <definedName name="lista1" localSheetId="12">#REF!</definedName>
    <definedName name="lista1" localSheetId="8">#REF!</definedName>
    <definedName name="lista1" localSheetId="4">#REF!</definedName>
    <definedName name="lista1">#REF!</definedName>
    <definedName name="lista2" localSheetId="6">#REF!</definedName>
    <definedName name="lista2" localSheetId="7">#REF!</definedName>
    <definedName name="lista2" localSheetId="13">#REF!</definedName>
    <definedName name="lista2" localSheetId="5">#REF!</definedName>
    <definedName name="lista2" localSheetId="2">#REF!</definedName>
    <definedName name="lista2" localSheetId="11">#REF!</definedName>
    <definedName name="lista2" localSheetId="12">#REF!</definedName>
    <definedName name="lista2" localSheetId="8">#REF!</definedName>
    <definedName name="lista2" localSheetId="4">#REF!</definedName>
    <definedName name="lista2">#REF!</definedName>
    <definedName name="nome" localSheetId="6">#REF!</definedName>
    <definedName name="nome" localSheetId="7">#REF!</definedName>
    <definedName name="nome" localSheetId="13">#REF!</definedName>
    <definedName name="nome" localSheetId="5">#REF!</definedName>
    <definedName name="nome" localSheetId="2">#REF!</definedName>
    <definedName name="nome" localSheetId="11">#REF!</definedName>
    <definedName name="nome" localSheetId="12">#REF!</definedName>
    <definedName name="nome" localSheetId="8">#REF!</definedName>
    <definedName name="nome" localSheetId="4">#REF!</definedName>
    <definedName name="nome">#REF!</definedName>
    <definedName name="PPPAs" localSheetId="6">#REF!</definedName>
    <definedName name="PPPAs" localSheetId="7">#REF!</definedName>
    <definedName name="PPPAs" localSheetId="13">#REF!</definedName>
    <definedName name="PPPAs" localSheetId="5">#REF!</definedName>
    <definedName name="PPPAs" localSheetId="2">#REF!</definedName>
    <definedName name="PPPAs" localSheetId="11">#REF!</definedName>
    <definedName name="PPPAs" localSheetId="12">#REF!</definedName>
    <definedName name="PPPAs" localSheetId="8">#REF!</definedName>
    <definedName name="PPPAs" localSheetId="4">#REF!</definedName>
    <definedName name="PPPAs">#REF!</definedName>
    <definedName name="res" localSheetId="6">#REF!</definedName>
    <definedName name="res" localSheetId="7">#REF!</definedName>
    <definedName name="res" localSheetId="13">#REF!</definedName>
    <definedName name="res" localSheetId="5">#REF!</definedName>
    <definedName name="res" localSheetId="2">#REF!</definedName>
    <definedName name="res" localSheetId="11">#REF!</definedName>
    <definedName name="res" localSheetId="12">#REF!</definedName>
    <definedName name="res" localSheetId="8">#REF!</definedName>
    <definedName name="res" localSheetId="4">#REF!</definedName>
    <definedName name="res">#REF!</definedName>
    <definedName name="resumo" localSheetId="6">#REF!</definedName>
    <definedName name="resumo" localSheetId="7">#REF!</definedName>
    <definedName name="resumo" localSheetId="13">#REF!</definedName>
    <definedName name="resumo" localSheetId="5">#REF!</definedName>
    <definedName name="resumo" localSheetId="2">#REF!</definedName>
    <definedName name="resumo" localSheetId="11">#REF!</definedName>
    <definedName name="resumo" localSheetId="12">#REF!</definedName>
    <definedName name="resumo" localSheetId="8">#REF!</definedName>
    <definedName name="resumo" localSheetId="4">#REF!</definedName>
    <definedName name="resumo">#REF!</definedName>
    <definedName name="sad" localSheetId="6">#REF!</definedName>
    <definedName name="sad" localSheetId="7">#REF!</definedName>
    <definedName name="sad">#REF!</definedName>
    <definedName name="sdsd" localSheetId="6">#REF!</definedName>
    <definedName name="sdsd" localSheetId="7">#REF!</definedName>
    <definedName name="sdsd" localSheetId="13">#REF!</definedName>
    <definedName name="sdsd" localSheetId="5">#REF!</definedName>
    <definedName name="sdsd" localSheetId="2">#REF!</definedName>
    <definedName name="sdsd" localSheetId="11">#REF!</definedName>
    <definedName name="sdsd" localSheetId="12">#REF!</definedName>
    <definedName name="sdsd" localSheetId="8">#REF!</definedName>
    <definedName name="sdsd" localSheetId="4">#REF!</definedName>
    <definedName name="sdsd">#REF!</definedName>
    <definedName name="Telefonista_VAZIA" localSheetId="6">#REF!</definedName>
    <definedName name="Telefonista_VAZIA" localSheetId="7">#REF!</definedName>
    <definedName name="Telefonista_VAZIA" localSheetId="13">#REF!</definedName>
    <definedName name="Telefonista_VAZIA" localSheetId="5">#REF!</definedName>
    <definedName name="Telefonista_VAZIA" localSheetId="2">#REF!</definedName>
    <definedName name="Telefonista_VAZIA" localSheetId="11">#REF!</definedName>
    <definedName name="Telefonista_VAZIA" localSheetId="12">#REF!</definedName>
    <definedName name="Telefonista_VAZIA" localSheetId="8">#REF!</definedName>
    <definedName name="Telefonista_VAZIA" localSheetId="4">#REF!</definedName>
    <definedName name="Telefonista_VAZIA">#REF!</definedName>
    <definedName name="Teste" localSheetId="6">#REF!</definedName>
    <definedName name="Teste" localSheetId="7">#REF!</definedName>
    <definedName name="Teste" localSheetId="13">#REF!</definedName>
    <definedName name="teste" localSheetId="5">#REF!</definedName>
    <definedName name="Teste" localSheetId="2">#REF!</definedName>
    <definedName name="teste" localSheetId="11">#REF!</definedName>
    <definedName name="teste" localSheetId="12">#REF!</definedName>
    <definedName name="Teste" localSheetId="8">#REF!</definedName>
    <definedName name="Teste" localSheetId="4">#REF!</definedName>
    <definedName name="Tes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4" i="84" l="1"/>
  <c r="B65" i="84"/>
  <c r="B66" i="84"/>
  <c r="C19" i="161"/>
  <c r="C20" i="161" s="1"/>
  <c r="F53" i="84"/>
  <c r="G53" i="84" s="1"/>
  <c r="E51" i="84"/>
  <c r="E45" i="84"/>
  <c r="E20" i="84"/>
  <c r="C5" i="84"/>
  <c r="C20" i="84" s="1"/>
  <c r="D5" i="84"/>
  <c r="D20" i="84" s="1"/>
  <c r="E10" i="84"/>
  <c r="D28" i="84"/>
  <c r="D45" i="84" s="1"/>
  <c r="C28" i="84"/>
  <c r="C45" i="84" s="1"/>
  <c r="E33" i="84"/>
  <c r="I21" i="121"/>
  <c r="I22" i="121"/>
  <c r="I23" i="121"/>
  <c r="I24" i="121"/>
  <c r="I25" i="121"/>
  <c r="I26" i="121"/>
  <c r="I20" i="121"/>
  <c r="E69" i="172"/>
  <c r="H27" i="121"/>
  <c r="I27" i="121"/>
  <c r="H21" i="121"/>
  <c r="H22" i="121"/>
  <c r="H23" i="121"/>
  <c r="H24" i="121"/>
  <c r="H25" i="121"/>
  <c r="H26" i="121"/>
  <c r="H20" i="121"/>
  <c r="H82" i="78"/>
  <c r="H73" i="78"/>
  <c r="H68" i="78"/>
  <c r="H61" i="78"/>
  <c r="C28" i="78"/>
  <c r="D64" i="170"/>
  <c r="I5" i="121"/>
  <c r="I7" i="121"/>
  <c r="I8" i="121"/>
  <c r="I10" i="121"/>
  <c r="I13" i="121"/>
  <c r="H6" i="121"/>
  <c r="H7" i="121"/>
  <c r="H8" i="121"/>
  <c r="H9" i="121"/>
  <c r="H10" i="121"/>
  <c r="H11" i="121"/>
  <c r="I11" i="121" s="1"/>
  <c r="H12" i="121"/>
  <c r="I12" i="121" s="1"/>
  <c r="H13" i="121"/>
  <c r="H5" i="121"/>
  <c r="C15" i="165"/>
  <c r="C14" i="165"/>
  <c r="D15" i="165"/>
  <c r="D14" i="165"/>
  <c r="E15" i="165"/>
  <c r="E14" i="165"/>
  <c r="C25" i="95"/>
  <c r="C24" i="95"/>
  <c r="H19" i="95"/>
  <c r="G19" i="95"/>
  <c r="F19" i="95"/>
  <c r="E19" i="95"/>
  <c r="I19" i="95" s="1"/>
  <c r="C19" i="95"/>
  <c r="F33" i="167"/>
  <c r="E57" i="167"/>
  <c r="E6" i="170"/>
  <c r="V94" i="78"/>
  <c r="V80" i="78"/>
  <c r="O44" i="78"/>
  <c r="V24" i="78"/>
  <c r="V13" i="78"/>
  <c r="G6" i="161"/>
  <c r="M4" i="161"/>
  <c r="G5" i="161"/>
  <c r="I5" i="161" s="1"/>
  <c r="K5" i="161" s="1"/>
  <c r="I6" i="161"/>
  <c r="K6" i="161" s="1"/>
  <c r="G7" i="161"/>
  <c r="I7" i="161" s="1"/>
  <c r="K7" i="161" s="1"/>
  <c r="G8" i="161"/>
  <c r="I8" i="161" s="1"/>
  <c r="K8" i="161" s="1"/>
  <c r="G9" i="161"/>
  <c r="I9" i="161" s="1"/>
  <c r="K9" i="161" s="1"/>
  <c r="G10" i="161"/>
  <c r="I10" i="161" s="1"/>
  <c r="K10" i="161" s="1"/>
  <c r="G11" i="161"/>
  <c r="I11" i="161" s="1"/>
  <c r="K11" i="161" s="1"/>
  <c r="G12" i="161"/>
  <c r="I12" i="161" s="1"/>
  <c r="K12" i="161" s="1"/>
  <c r="G4" i="161"/>
  <c r="F26" i="121"/>
  <c r="F25" i="121"/>
  <c r="F24" i="121"/>
  <c r="F23" i="121"/>
  <c r="F22" i="121"/>
  <c r="F21" i="121"/>
  <c r="F20" i="121"/>
  <c r="F6" i="121"/>
  <c r="F7" i="121"/>
  <c r="F8" i="121"/>
  <c r="F9" i="121"/>
  <c r="F10" i="121"/>
  <c r="F11" i="121"/>
  <c r="F12" i="121"/>
  <c r="F13" i="121"/>
  <c r="F5" i="121"/>
  <c r="H33" i="167"/>
  <c r="N5" i="158"/>
  <c r="K6" i="158"/>
  <c r="K7" i="158"/>
  <c r="K5" i="158"/>
  <c r="J6" i="158"/>
  <c r="J7" i="158"/>
  <c r="J5" i="158"/>
  <c r="I6" i="158"/>
  <c r="I7" i="158"/>
  <c r="I5" i="158"/>
  <c r="F5" i="158"/>
  <c r="F6" i="158"/>
  <c r="F7" i="158"/>
  <c r="H14" i="121" l="1"/>
  <c r="I6" i="121"/>
  <c r="I9" i="121"/>
  <c r="I14" i="121" s="1"/>
  <c r="E69" i="170" s="1"/>
  <c r="I4" i="161"/>
  <c r="G13" i="161"/>
  <c r="B2" i="172"/>
  <c r="E72" i="172"/>
  <c r="D64" i="172"/>
  <c r="D63" i="172"/>
  <c r="D61" i="172"/>
  <c r="D60" i="172"/>
  <c r="D59" i="172"/>
  <c r="D58" i="172"/>
  <c r="D55" i="172"/>
  <c r="D54" i="172"/>
  <c r="D51" i="172"/>
  <c r="D50" i="172"/>
  <c r="D45" i="172"/>
  <c r="D40" i="172"/>
  <c r="D39" i="172"/>
  <c r="D35" i="172"/>
  <c r="D37" i="172" s="1"/>
  <c r="E26" i="172"/>
  <c r="E72" i="170"/>
  <c r="B2" i="170"/>
  <c r="D63" i="170"/>
  <c r="D61" i="170"/>
  <c r="D60" i="170"/>
  <c r="D59" i="170"/>
  <c r="D58" i="170"/>
  <c r="D55" i="170"/>
  <c r="D54" i="170"/>
  <c r="D51" i="170"/>
  <c r="D50" i="170"/>
  <c r="D53" i="170" s="1"/>
  <c r="D45" i="170"/>
  <c r="D40" i="170"/>
  <c r="D39" i="170"/>
  <c r="D35" i="170"/>
  <c r="E26" i="170"/>
  <c r="C4" i="83"/>
  <c r="F7" i="83" s="1"/>
  <c r="H30" i="95"/>
  <c r="D53" i="172" l="1"/>
  <c r="I13" i="161"/>
  <c r="N4" i="161"/>
  <c r="K4" i="161"/>
  <c r="K13" i="161" s="1"/>
  <c r="D42" i="172"/>
  <c r="D41" i="172"/>
  <c r="D46" i="172"/>
  <c r="D62" i="172"/>
  <c r="D52" i="172"/>
  <c r="E13" i="170"/>
  <c r="D37" i="170"/>
  <c r="D42" i="170"/>
  <c r="E58" i="170" l="1"/>
  <c r="E31" i="170"/>
  <c r="E30" i="170"/>
  <c r="E55" i="170"/>
  <c r="D43" i="172"/>
  <c r="D47" i="172"/>
  <c r="D56" i="172"/>
  <c r="E50" i="170"/>
  <c r="E53" i="170"/>
  <c r="E59" i="170"/>
  <c r="E32" i="170"/>
  <c r="E45" i="170"/>
  <c r="E40" i="170"/>
  <c r="E17" i="170"/>
  <c r="E39" i="170"/>
  <c r="E33" i="170"/>
  <c r="E34" i="170"/>
  <c r="E36" i="170"/>
  <c r="E29" i="170"/>
  <c r="E64" i="170"/>
  <c r="E42" i="170"/>
  <c r="E60" i="170"/>
  <c r="E61" i="170"/>
  <c r="E51" i="170"/>
  <c r="E35" i="170"/>
  <c r="E63" i="170"/>
  <c r="D46" i="170"/>
  <c r="D41" i="170"/>
  <c r="D52" i="170"/>
  <c r="D62" i="170"/>
  <c r="E54" i="170"/>
  <c r="D65" i="172" l="1"/>
  <c r="E62" i="170"/>
  <c r="E46" i="170"/>
  <c r="E47" i="170" s="1"/>
  <c r="D47" i="170"/>
  <c r="E52" i="170"/>
  <c r="E56" i="170" s="1"/>
  <c r="D56" i="170"/>
  <c r="E37" i="170"/>
  <c r="E41" i="170"/>
  <c r="E43" i="170" s="1"/>
  <c r="D43" i="170"/>
  <c r="D66" i="172" l="1"/>
  <c r="D67" i="172" s="1"/>
  <c r="D65" i="170"/>
  <c r="E65" i="170" l="1"/>
  <c r="E66" i="170" s="1"/>
  <c r="E67" i="170" s="1"/>
  <c r="D66" i="170"/>
  <c r="D67" i="170" s="1"/>
  <c r="J18" i="158" l="1"/>
  <c r="J17" i="158"/>
  <c r="J16" i="158"/>
  <c r="E7" i="158"/>
  <c r="E5" i="158"/>
  <c r="E6" i="158" l="1"/>
  <c r="D6" i="158"/>
  <c r="E17" i="158"/>
  <c r="I2" i="83" l="1"/>
  <c r="B15" i="165" l="1"/>
  <c r="L5" i="158"/>
  <c r="I18" i="158"/>
  <c r="M18" i="158" s="1"/>
  <c r="E6" i="172"/>
  <c r="I4" i="83" l="1"/>
  <c r="L7" i="83" s="1"/>
  <c r="E13" i="172"/>
  <c r="N6" i="158"/>
  <c r="N7" i="158"/>
  <c r="L18" i="158"/>
  <c r="N18" i="158" s="1"/>
  <c r="E39" i="172" l="1"/>
  <c r="E64" i="172"/>
  <c r="E51" i="172"/>
  <c r="E58" i="172"/>
  <c r="E53" i="172"/>
  <c r="E30" i="172"/>
  <c r="E34" i="172"/>
  <c r="E50" i="172"/>
  <c r="E54" i="172"/>
  <c r="E59" i="172"/>
  <c r="E40" i="172"/>
  <c r="E63" i="172"/>
  <c r="E60" i="172"/>
  <c r="E35" i="172"/>
  <c r="E29" i="172"/>
  <c r="E45" i="172"/>
  <c r="E33" i="172"/>
  <c r="E55" i="172"/>
  <c r="E36" i="172"/>
  <c r="E61" i="172"/>
  <c r="E17" i="172"/>
  <c r="E31" i="172"/>
  <c r="E32" i="172"/>
  <c r="E42" i="172"/>
  <c r="E52" i="172"/>
  <c r="E62" i="172"/>
  <c r="E46" i="172"/>
  <c r="E41" i="172"/>
  <c r="E65" i="172"/>
  <c r="J7" i="83"/>
  <c r="K7" i="83"/>
  <c r="I7" i="83"/>
  <c r="N7" i="83"/>
  <c r="B8" i="165"/>
  <c r="I17" i="158"/>
  <c r="E47" i="172" l="1"/>
  <c r="E37" i="172"/>
  <c r="E43" i="172"/>
  <c r="E66" i="172"/>
  <c r="E56" i="172"/>
  <c r="E67" i="172" l="1"/>
  <c r="C8" i="83" l="1"/>
  <c r="M12" i="161" l="1"/>
  <c r="M10" i="161"/>
  <c r="M9" i="161"/>
  <c r="M8" i="161"/>
  <c r="M7" i="161"/>
  <c r="M6" i="161"/>
  <c r="M5" i="161"/>
  <c r="B5" i="161"/>
  <c r="B6" i="161" s="1"/>
  <c r="B7" i="161" s="1"/>
  <c r="B8" i="161" s="1"/>
  <c r="B9" i="161" s="1"/>
  <c r="B10" i="161" s="1"/>
  <c r="B12" i="161" s="1"/>
  <c r="M13" i="161"/>
  <c r="N7" i="161" l="1"/>
  <c r="N9" i="161"/>
  <c r="N12" i="161"/>
  <c r="N10" i="161"/>
  <c r="N8" i="161" l="1"/>
  <c r="N5" i="161"/>
  <c r="N6" i="161"/>
  <c r="K6" i="58" l="1"/>
  <c r="K8" i="58"/>
  <c r="E44" i="88"/>
  <c r="D44" i="88"/>
  <c r="E43" i="88"/>
  <c r="D43" i="88"/>
  <c r="D42" i="88"/>
  <c r="I39" i="88"/>
  <c r="D38" i="88"/>
  <c r="D37" i="88"/>
  <c r="I35" i="88"/>
  <c r="I34" i="88"/>
  <c r="I32" i="88"/>
  <c r="I31" i="88"/>
  <c r="I30" i="88"/>
  <c r="Z18" i="88"/>
  <c r="S18" i="88"/>
  <c r="O18" i="88"/>
  <c r="H18" i="88"/>
  <c r="Z17" i="88"/>
  <c r="Y17" i="88"/>
  <c r="W17" i="88"/>
  <c r="T17" i="88"/>
  <c r="S17" i="88"/>
  <c r="R17" i="88"/>
  <c r="Q17" i="88"/>
  <c r="P17" i="88"/>
  <c r="O17" i="88"/>
  <c r="N17" i="88"/>
  <c r="L17" i="88"/>
  <c r="I17" i="88"/>
  <c r="H17" i="88"/>
  <c r="F17" i="88"/>
  <c r="E17" i="88"/>
  <c r="Z16" i="88"/>
  <c r="Y16" i="88"/>
  <c r="W16" i="88"/>
  <c r="T16" i="88"/>
  <c r="S16" i="88"/>
  <c r="R16" i="88"/>
  <c r="Q16" i="88"/>
  <c r="P16" i="88"/>
  <c r="O16" i="88"/>
  <c r="N16" i="88"/>
  <c r="L16" i="88"/>
  <c r="I16" i="88"/>
  <c r="H16" i="88"/>
  <c r="F16" i="88"/>
  <c r="E16" i="88"/>
  <c r="Z15" i="88"/>
  <c r="Y15" i="88"/>
  <c r="W15" i="88"/>
  <c r="T15" i="88"/>
  <c r="S15" i="88"/>
  <c r="R15" i="88"/>
  <c r="Q15" i="88"/>
  <c r="P15" i="88"/>
  <c r="O15" i="88"/>
  <c r="N15" i="88"/>
  <c r="L15" i="88"/>
  <c r="I15" i="88"/>
  <c r="H15" i="88"/>
  <c r="F15" i="88"/>
  <c r="E15" i="88"/>
  <c r="Z14" i="88"/>
  <c r="Y14" i="88"/>
  <c r="W14" i="88"/>
  <c r="T14" i="88"/>
  <c r="S14" i="88"/>
  <c r="R14" i="88"/>
  <c r="Q14" i="88"/>
  <c r="P14" i="88"/>
  <c r="O14" i="88"/>
  <c r="N14" i="88"/>
  <c r="L14" i="88"/>
  <c r="I14" i="88"/>
  <c r="H14" i="88"/>
  <c r="F14" i="88"/>
  <c r="E14" i="88"/>
  <c r="Z13" i="88"/>
  <c r="Y13" i="88"/>
  <c r="W13" i="88"/>
  <c r="T13" i="88"/>
  <c r="S13" i="88"/>
  <c r="R13" i="88"/>
  <c r="Q13" i="88"/>
  <c r="P13" i="88"/>
  <c r="O13" i="88"/>
  <c r="N13" i="88"/>
  <c r="L13" i="88"/>
  <c r="I13" i="88"/>
  <c r="H13" i="88"/>
  <c r="F13" i="88"/>
  <c r="E13" i="88"/>
  <c r="Z12" i="88"/>
  <c r="Y12" i="88"/>
  <c r="W12" i="88"/>
  <c r="T12" i="88"/>
  <c r="S12" i="88"/>
  <c r="R12" i="88"/>
  <c r="Q12" i="88"/>
  <c r="P12" i="88"/>
  <c r="O12" i="88"/>
  <c r="N12" i="88"/>
  <c r="L12" i="88"/>
  <c r="I12" i="88"/>
  <c r="H12" i="88"/>
  <c r="F12" i="88"/>
  <c r="E12" i="88"/>
  <c r="Z11" i="88"/>
  <c r="Y11" i="88"/>
  <c r="W11" i="88"/>
  <c r="T11" i="88"/>
  <c r="S11" i="88"/>
  <c r="R11" i="88"/>
  <c r="Q11" i="88"/>
  <c r="P11" i="88"/>
  <c r="O11" i="88"/>
  <c r="N11" i="88"/>
  <c r="L11" i="88"/>
  <c r="I11" i="88"/>
  <c r="H11" i="88"/>
  <c r="F11" i="88"/>
  <c r="E11" i="88"/>
  <c r="Z10" i="88"/>
  <c r="Y10" i="88"/>
  <c r="W10" i="88"/>
  <c r="T10" i="88"/>
  <c r="S10" i="88"/>
  <c r="R10" i="88"/>
  <c r="Q10" i="88"/>
  <c r="P10" i="88"/>
  <c r="O10" i="88"/>
  <c r="N10" i="88"/>
  <c r="L10" i="88"/>
  <c r="I10" i="88"/>
  <c r="H10" i="88"/>
  <c r="F10" i="88"/>
  <c r="E10" i="88"/>
  <c r="Z9" i="88"/>
  <c r="Y9" i="88"/>
  <c r="W9" i="88"/>
  <c r="T9" i="88"/>
  <c r="S9" i="88"/>
  <c r="R9" i="88"/>
  <c r="Q9" i="88"/>
  <c r="P9" i="88"/>
  <c r="O9" i="88"/>
  <c r="N9" i="88"/>
  <c r="L9" i="88"/>
  <c r="I9" i="88"/>
  <c r="H9" i="88"/>
  <c r="F9" i="88"/>
  <c r="E9" i="88"/>
  <c r="Z8" i="88"/>
  <c r="Y8" i="88"/>
  <c r="W8" i="88"/>
  <c r="T8" i="88"/>
  <c r="S8" i="88"/>
  <c r="R8" i="88"/>
  <c r="Q8" i="88"/>
  <c r="P8" i="88"/>
  <c r="O8" i="88"/>
  <c r="N8" i="88"/>
  <c r="L8" i="88"/>
  <c r="I8" i="88"/>
  <c r="H8" i="88"/>
  <c r="F8" i="88"/>
  <c r="E8" i="88"/>
  <c r="Z7" i="88"/>
  <c r="Y7" i="88"/>
  <c r="W7" i="88"/>
  <c r="T7" i="88"/>
  <c r="S7" i="88"/>
  <c r="R7" i="88"/>
  <c r="Q7" i="88"/>
  <c r="P7" i="88"/>
  <c r="O7" i="88"/>
  <c r="N7" i="88"/>
  <c r="L7" i="88"/>
  <c r="I7" i="88"/>
  <c r="H7" i="88"/>
  <c r="F7" i="88"/>
  <c r="E7" i="88"/>
  <c r="Z6" i="88"/>
  <c r="Y6" i="88"/>
  <c r="W6" i="88"/>
  <c r="T6" i="88"/>
  <c r="S6" i="88"/>
  <c r="R6" i="88"/>
  <c r="P6" i="88"/>
  <c r="O6" i="88"/>
  <c r="N6" i="88"/>
  <c r="L6" i="88"/>
  <c r="I6" i="88"/>
  <c r="H6" i="88"/>
  <c r="E6" i="88"/>
  <c r="E40" i="87"/>
  <c r="D40" i="87"/>
  <c r="E39" i="87"/>
  <c r="D39" i="87"/>
  <c r="D34" i="87"/>
  <c r="D33" i="87"/>
  <c r="M28" i="87"/>
  <c r="M27" i="87"/>
  <c r="M25" i="87"/>
  <c r="M24" i="87"/>
  <c r="M23" i="87"/>
  <c r="M18" i="87"/>
  <c r="H18" i="87"/>
  <c r="M17" i="87"/>
  <c r="L17" i="87"/>
  <c r="K17" i="87"/>
  <c r="J17" i="87"/>
  <c r="I17" i="87"/>
  <c r="H17" i="87"/>
  <c r="F17" i="87"/>
  <c r="E17" i="87"/>
  <c r="M16" i="87"/>
  <c r="L16" i="87"/>
  <c r="K16" i="87"/>
  <c r="J16" i="87"/>
  <c r="I16" i="87"/>
  <c r="H16" i="87"/>
  <c r="F16" i="87"/>
  <c r="E16" i="87"/>
  <c r="M15" i="87"/>
  <c r="L15" i="87"/>
  <c r="K15" i="87"/>
  <c r="J15" i="87"/>
  <c r="I15" i="87"/>
  <c r="H15" i="87"/>
  <c r="F15" i="87"/>
  <c r="E15" i="87"/>
  <c r="M14" i="87"/>
  <c r="L14" i="87"/>
  <c r="K14" i="87"/>
  <c r="J14" i="87"/>
  <c r="I14" i="87"/>
  <c r="H14" i="87"/>
  <c r="F14" i="87"/>
  <c r="E14" i="87"/>
  <c r="M13" i="87"/>
  <c r="L13" i="87"/>
  <c r="K13" i="87"/>
  <c r="J13" i="87"/>
  <c r="I13" i="87"/>
  <c r="H13" i="87"/>
  <c r="F13" i="87"/>
  <c r="E13" i="87"/>
  <c r="M12" i="87"/>
  <c r="L12" i="87"/>
  <c r="K12" i="87"/>
  <c r="J12" i="87"/>
  <c r="I12" i="87"/>
  <c r="H12" i="87"/>
  <c r="F12" i="87"/>
  <c r="E12" i="87"/>
  <c r="M11" i="87"/>
  <c r="L11" i="87"/>
  <c r="K11" i="87"/>
  <c r="J11" i="87"/>
  <c r="I11" i="87"/>
  <c r="H11" i="87"/>
  <c r="F11" i="87"/>
  <c r="E11" i="87"/>
  <c r="M10" i="87"/>
  <c r="L10" i="87"/>
  <c r="K10" i="87"/>
  <c r="J10" i="87"/>
  <c r="I10" i="87"/>
  <c r="H10" i="87"/>
  <c r="F10" i="87"/>
  <c r="E10" i="87"/>
  <c r="M9" i="87"/>
  <c r="L9" i="87"/>
  <c r="K9" i="87"/>
  <c r="J9" i="87"/>
  <c r="I9" i="87"/>
  <c r="H9" i="87"/>
  <c r="F9" i="87"/>
  <c r="E9" i="87"/>
  <c r="M8" i="87"/>
  <c r="L8" i="87"/>
  <c r="K8" i="87"/>
  <c r="J8" i="87"/>
  <c r="I8" i="87"/>
  <c r="H8" i="87"/>
  <c r="F8" i="87"/>
  <c r="E8" i="87"/>
  <c r="M7" i="87"/>
  <c r="L7" i="87"/>
  <c r="K7" i="87"/>
  <c r="J7" i="87"/>
  <c r="I7" i="87"/>
  <c r="H7" i="87"/>
  <c r="F7" i="87"/>
  <c r="E7" i="87"/>
  <c r="M6" i="87"/>
  <c r="L6" i="87"/>
  <c r="J6" i="87"/>
  <c r="I6" i="87"/>
  <c r="H6" i="87"/>
  <c r="E6" i="87"/>
  <c r="B30" i="58"/>
  <c r="U26" i="58"/>
  <c r="S26" i="58"/>
  <c r="R26" i="58"/>
  <c r="Q26" i="58"/>
  <c r="M26" i="58"/>
  <c r="D26" i="58"/>
  <c r="B26" i="58"/>
  <c r="U25" i="58"/>
  <c r="S25" i="58"/>
  <c r="R25" i="58"/>
  <c r="Q25" i="58"/>
  <c r="M25" i="58"/>
  <c r="G25" i="58"/>
  <c r="D25" i="58"/>
  <c r="U24" i="58"/>
  <c r="S24" i="58"/>
  <c r="R24" i="58"/>
  <c r="Q24" i="58"/>
  <c r="M24" i="58"/>
  <c r="G24" i="58"/>
  <c r="D24" i="58"/>
  <c r="U23" i="58"/>
  <c r="S23" i="58"/>
  <c r="R23" i="58"/>
  <c r="Q23" i="58"/>
  <c r="M23" i="58"/>
  <c r="F23" i="58"/>
  <c r="E23" i="58"/>
  <c r="D23" i="58"/>
  <c r="U22" i="58"/>
  <c r="S22" i="58"/>
  <c r="R22" i="58"/>
  <c r="Q22" i="58"/>
  <c r="M22" i="58"/>
  <c r="G22" i="58"/>
  <c r="F22" i="58"/>
  <c r="E22" i="58"/>
  <c r="D22" i="58"/>
  <c r="U21" i="58"/>
  <c r="S21" i="58"/>
  <c r="R21" i="58"/>
  <c r="Q21" i="58"/>
  <c r="M21" i="58"/>
  <c r="G21" i="58"/>
  <c r="F21" i="58"/>
  <c r="E21" i="58"/>
  <c r="D21" i="58"/>
  <c r="U20" i="58"/>
  <c r="S20" i="58"/>
  <c r="R20" i="58"/>
  <c r="Q20" i="58"/>
  <c r="M20" i="58"/>
  <c r="F20" i="58"/>
  <c r="D20" i="58"/>
  <c r="U19" i="58"/>
  <c r="S19" i="58"/>
  <c r="R19" i="58"/>
  <c r="Q19" i="58"/>
  <c r="M19" i="58"/>
  <c r="F19" i="58"/>
  <c r="D19" i="58"/>
  <c r="U18" i="58"/>
  <c r="S18" i="58"/>
  <c r="R18" i="58"/>
  <c r="Q18" i="58"/>
  <c r="M18" i="58"/>
  <c r="F18" i="58"/>
  <c r="E18" i="58"/>
  <c r="D18" i="58"/>
  <c r="U17" i="58"/>
  <c r="S17" i="58"/>
  <c r="R17" i="58"/>
  <c r="Q17" i="58"/>
  <c r="M17" i="58"/>
  <c r="G17" i="58"/>
  <c r="F17" i="58"/>
  <c r="D17" i="58"/>
  <c r="U16" i="58"/>
  <c r="S16" i="58"/>
  <c r="R16" i="58"/>
  <c r="Q16" i="58"/>
  <c r="M16" i="58"/>
  <c r="F16" i="58"/>
  <c r="E16" i="58"/>
  <c r="D16" i="58"/>
  <c r="U15" i="58"/>
  <c r="S15" i="58"/>
  <c r="R15" i="58"/>
  <c r="Q15" i="58"/>
  <c r="M15" i="58"/>
  <c r="G15" i="58"/>
  <c r="U14" i="58"/>
  <c r="S14" i="58"/>
  <c r="R14" i="58"/>
  <c r="Q14" i="58"/>
  <c r="M14" i="58"/>
  <c r="F14" i="58"/>
  <c r="E14" i="58"/>
  <c r="D14" i="58"/>
  <c r="I8" i="58"/>
  <c r="H8" i="58"/>
  <c r="G8" i="58"/>
  <c r="K7" i="58"/>
  <c r="H7" i="58"/>
  <c r="G7" i="58"/>
  <c r="I6" i="58"/>
  <c r="H6" i="58"/>
  <c r="G6" i="58"/>
  <c r="C5" i="58"/>
  <c r="B61" i="84"/>
  <c r="B62" i="84" s="1"/>
  <c r="B63" i="84" s="1"/>
  <c r="B25" i="58"/>
  <c r="B24" i="58"/>
  <c r="B23" i="58"/>
  <c r="B22" i="58"/>
  <c r="B21" i="58"/>
  <c r="B20" i="58"/>
  <c r="B19" i="58"/>
  <c r="B18" i="58"/>
  <c r="B17" i="58"/>
  <c r="B16" i="58"/>
  <c r="B15" i="58"/>
  <c r="B14" i="58"/>
  <c r="C2" i="83"/>
  <c r="C104" i="78"/>
  <c r="C103" i="78"/>
  <c r="C102" i="78"/>
  <c r="C101" i="78"/>
  <c r="C100" i="78"/>
  <c r="V88" i="78"/>
  <c r="H88" i="78"/>
  <c r="V82" i="78"/>
  <c r="V73" i="78"/>
  <c r="V68" i="78"/>
  <c r="V61" i="78"/>
  <c r="V57" i="78"/>
  <c r="V51" i="78"/>
  <c r="H51" i="78"/>
  <c r="K45" i="78"/>
  <c r="H50" i="78" s="1"/>
  <c r="V46" i="78" s="1"/>
  <c r="Q44" i="78"/>
  <c r="K41" i="78"/>
  <c r="H41" i="78"/>
  <c r="V35" i="78"/>
  <c r="H35" i="78"/>
  <c r="N30" i="78"/>
  <c r="H30" i="78"/>
  <c r="V29" i="78" s="1"/>
  <c r="Q24" i="78"/>
  <c r="V19" i="78"/>
  <c r="V16" i="78"/>
  <c r="V10" i="78"/>
  <c r="D35" i="121"/>
  <c r="D36" i="121" s="1"/>
  <c r="D37" i="121" s="1"/>
  <c r="D38" i="121" s="1"/>
  <c r="D39" i="121" s="1"/>
  <c r="H6" i="95"/>
  <c r="H7" i="95" s="1"/>
  <c r="H8" i="95" s="1"/>
  <c r="D6" i="95"/>
  <c r="D7" i="95" s="1"/>
  <c r="D8" i="95" s="1"/>
  <c r="D9" i="95" s="1"/>
  <c r="E5" i="95"/>
  <c r="E6" i="95" s="1"/>
  <c r="E7" i="95" s="1"/>
  <c r="E8" i="95" s="1"/>
  <c r="E9" i="95" s="1"/>
  <c r="C22" i="158"/>
  <c r="K9" i="95" l="1"/>
  <c r="F5" i="95"/>
  <c r="V22" i="78"/>
  <c r="Q96" i="78"/>
  <c r="T81" i="78"/>
  <c r="Q81" i="78"/>
  <c r="V81" i="78" s="1"/>
  <c r="Q23" i="78"/>
  <c r="V100" i="78"/>
  <c r="V31" i="78"/>
  <c r="V32" i="78" s="1"/>
  <c r="T24" i="78"/>
  <c r="T23" i="78"/>
  <c r="T44" i="78"/>
  <c r="V44" i="78" s="1"/>
  <c r="O41" i="78"/>
  <c r="V41" i="78" s="1"/>
  <c r="V42" i="78" s="1"/>
  <c r="M17" i="158"/>
  <c r="L16" i="158"/>
  <c r="M16" i="158"/>
  <c r="L17" i="158"/>
  <c r="L6" i="58"/>
  <c r="M6" i="58" s="1"/>
  <c r="L7" i="58"/>
  <c r="M7" i="58" s="1"/>
  <c r="L8" i="58"/>
  <c r="M8" i="58" s="1"/>
  <c r="F6" i="95" l="1"/>
  <c r="G5" i="95"/>
  <c r="N45" i="78"/>
  <c r="V45" i="78" s="1"/>
  <c r="V54" i="78"/>
  <c r="K96" i="78"/>
  <c r="V102" i="78"/>
  <c r="V23" i="78"/>
  <c r="V25" i="78" s="1"/>
  <c r="N17" i="158"/>
  <c r="N16" i="158"/>
  <c r="G6" i="95" l="1"/>
  <c r="K5" i="95"/>
  <c r="F7" i="95"/>
  <c r="K6" i="95"/>
  <c r="V101" i="78"/>
  <c r="I96" i="78"/>
  <c r="V103" i="78"/>
  <c r="M96" i="78"/>
  <c r="F8" i="95" l="1"/>
  <c r="G7" i="95"/>
  <c r="G8" i="95" s="1"/>
  <c r="D10" i="95"/>
  <c r="D19" i="95" s="1"/>
  <c r="J19" i="95" s="1"/>
  <c r="V96" i="78"/>
  <c r="V97" i="78" s="1"/>
  <c r="V104" i="78" s="1"/>
  <c r="V105" i="78" s="1"/>
  <c r="E29" i="95" l="1"/>
  <c r="H29" i="95" s="1"/>
  <c r="K7" i="95"/>
  <c r="K8" i="95"/>
  <c r="C22" i="58"/>
  <c r="C20" i="58"/>
  <c r="C24" i="58"/>
  <c r="C17" i="58"/>
  <c r="C16" i="58"/>
  <c r="C26" i="58"/>
  <c r="C21" i="58"/>
  <c r="C25" i="58"/>
  <c r="C18" i="58"/>
  <c r="C23" i="58"/>
  <c r="C19" i="58"/>
  <c r="E22" i="172" l="1"/>
  <c r="E22" i="170"/>
  <c r="K10" i="95"/>
  <c r="V18" i="58"/>
  <c r="T18" i="58"/>
  <c r="V25" i="58"/>
  <c r="T25" i="58"/>
  <c r="T21" i="58"/>
  <c r="V21" i="58"/>
  <c r="T26" i="58"/>
  <c r="V26" i="58"/>
  <c r="V16" i="58"/>
  <c r="T16" i="58"/>
  <c r="V17" i="58"/>
  <c r="T17" i="58"/>
  <c r="T24" i="58"/>
  <c r="V24" i="58"/>
  <c r="V20" i="58"/>
  <c r="T20" i="58"/>
  <c r="V19" i="58"/>
  <c r="T19" i="58"/>
  <c r="V23" i="58"/>
  <c r="T23" i="58"/>
  <c r="T22" i="58"/>
  <c r="V22" i="58"/>
  <c r="E20" i="172" l="1"/>
  <c r="E21" i="172" s="1"/>
  <c r="E27" i="172" s="1"/>
  <c r="E48" i="172" s="1"/>
  <c r="E73" i="172" s="1"/>
  <c r="F28" i="84" s="1"/>
  <c r="G28" i="84" s="1"/>
  <c r="H27" i="84" s="1"/>
  <c r="E20" i="170"/>
  <c r="H30" i="84" l="1"/>
  <c r="H31" i="84"/>
  <c r="H37" i="84" s="1"/>
  <c r="E21" i="170"/>
  <c r="E27" i="170"/>
  <c r="H33" i="84" l="1"/>
  <c r="F45" i="84"/>
  <c r="G45" i="84" s="1"/>
  <c r="H32" i="84"/>
  <c r="E48" i="170"/>
  <c r="E73" i="170" s="1"/>
  <c r="D18" i="158"/>
  <c r="O18" i="158" s="1"/>
  <c r="H45" i="84" l="1"/>
  <c r="F52" i="84"/>
  <c r="G52" i="84" s="1"/>
  <c r="H39" i="84"/>
  <c r="F5" i="84"/>
  <c r="G5" i="84" s="1"/>
  <c r="H4" i="84" s="1"/>
  <c r="H7" i="84" l="1"/>
  <c r="H8" i="84"/>
  <c r="H14" i="84"/>
  <c r="F20" i="84" s="1"/>
  <c r="G20" i="84" s="1"/>
  <c r="I9" i="83"/>
  <c r="K5" i="58"/>
  <c r="H20" i="84" l="1"/>
  <c r="F51" i="84"/>
  <c r="G51" i="84" s="1"/>
  <c r="G54" i="84" s="1"/>
  <c r="H10" i="84"/>
  <c r="H9" i="84"/>
  <c r="D16" i="158"/>
  <c r="O16" i="158" s="1"/>
  <c r="C14" i="58"/>
  <c r="C7" i="83"/>
  <c r="L5" i="58"/>
  <c r="M5" i="58" s="1"/>
  <c r="E7" i="83"/>
  <c r="H7" i="83"/>
  <c r="C9" i="83" s="1"/>
  <c r="I13" i="83" s="1"/>
  <c r="D7" i="83"/>
  <c r="H16" i="84" l="1"/>
  <c r="T14" i="58"/>
  <c r="V14" i="58"/>
  <c r="C15" i="58" l="1"/>
  <c r="D17" i="158"/>
  <c r="O17" i="158" s="1"/>
  <c r="T15" i="58" l="1"/>
  <c r="V15"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leonardo jose alves leal neri</author>
    <author>Leo e Dan</author>
  </authors>
  <commentList>
    <comment ref="G13" authorId="0" shapeId="0" xr:uid="{00000000-0006-0000-0B00-000001000000}">
      <text>
        <r>
          <rPr>
            <b/>
            <sz val="9"/>
            <rFont val="Segoe UI"/>
            <family val="2"/>
          </rPr>
          <t>leonardo jose alves leal neri:</t>
        </r>
        <r>
          <rPr>
            <sz val="9"/>
            <rFont val="Segoe UI"/>
            <family val="2"/>
          </rPr>
          <t xml:space="preserve">
(sal + sal * P. Enc. Sociais) * (1+BDI). Cálculo VT, VA , Aux. Alimentação e outors / 109 - total da equipe</t>
        </r>
      </text>
    </comment>
    <comment ref="D18" authorId="1" shapeId="0" xr:uid="{00000000-0006-0000-0B00-000002000000}">
      <text>
        <r>
          <rPr>
            <b/>
            <sz val="9"/>
            <rFont val="Segoe UI"/>
            <family val="2"/>
          </rPr>
          <t>Leo e Dan:</t>
        </r>
        <r>
          <rPr>
            <sz val="9"/>
            <rFont val="Segoe UI"/>
            <family val="2"/>
          </rPr>
          <t xml:space="preserve">
Comp. Oficial de Manutenção Predial</t>
        </r>
      </text>
    </comment>
    <comment ref="D19" authorId="1" shapeId="0" xr:uid="{00000000-0006-0000-0B00-000003000000}">
      <text>
        <r>
          <rPr>
            <b/>
            <sz val="9"/>
            <rFont val="Segoe UI"/>
            <family val="2"/>
          </rPr>
          <t>Leo e Dan:</t>
        </r>
        <r>
          <rPr>
            <sz val="9"/>
            <rFont val="Segoe UI"/>
            <family val="2"/>
          </rPr>
          <t xml:space="preserve">
Comp. Oficial de Manutenção Predial</t>
        </r>
      </text>
    </comment>
    <comment ref="D20" authorId="1" shapeId="0" xr:uid="{00000000-0006-0000-0B00-000004000000}">
      <text>
        <r>
          <rPr>
            <b/>
            <sz val="9"/>
            <rFont val="Segoe UI"/>
            <family val="2"/>
          </rPr>
          <t>Leo e Dan:</t>
        </r>
        <r>
          <rPr>
            <sz val="9"/>
            <rFont val="Segoe UI"/>
            <family val="2"/>
          </rPr>
          <t xml:space="preserve">
Comp. Oficial de Manutenção Predial</t>
        </r>
      </text>
    </comment>
    <comment ref="D24" authorId="0" shapeId="0" xr:uid="{00000000-0006-0000-0B00-000005000000}">
      <text>
        <r>
          <rPr>
            <b/>
            <sz val="9"/>
            <rFont val="Segoe UI"/>
            <family val="2"/>
          </rPr>
          <t>leonardo jose alves leal neri:</t>
        </r>
        <r>
          <rPr>
            <sz val="9"/>
            <rFont val="Segoe UI"/>
            <family val="2"/>
          </rPr>
          <t xml:space="preserve">
Comp. Auxiliar de manutenção de edificações</t>
        </r>
      </text>
    </comment>
    <comment ref="D26" authorId="1" shapeId="0" xr:uid="{00000000-0006-0000-0B00-000006000000}">
      <text>
        <r>
          <rPr>
            <b/>
            <sz val="9"/>
            <rFont val="Segoe UI"/>
            <family val="2"/>
          </rPr>
          <t>Leo e Dan:</t>
        </r>
        <r>
          <rPr>
            <sz val="9"/>
            <rFont val="Segoe UI"/>
            <family val="2"/>
          </rPr>
          <t xml:space="preserve">
Comp. Oficial de Manutenção Predial</t>
        </r>
      </text>
    </comment>
    <comment ref="M26" authorId="1" shapeId="0" xr:uid="{00000000-0006-0000-0B00-000007000000}">
      <text>
        <r>
          <rPr>
            <b/>
            <sz val="9"/>
            <rFont val="Segoe UI"/>
            <family val="2"/>
          </rPr>
          <t>Leo e Dan:</t>
        </r>
        <r>
          <rPr>
            <sz val="9"/>
            <rFont val="Segoe UI"/>
            <family val="2"/>
          </rPr>
          <t xml:space="preserve">
Apesar de não constar da proposta da empresa, esse posto tem o mesmo valor nominal dos postos de pedreiro e pintor.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Leo e Dan</author>
  </authors>
  <commentList>
    <comment ref="E5" authorId="0" shapeId="0" xr:uid="{00000000-0006-0000-0D00-000001000000}">
      <text>
        <r>
          <rPr>
            <b/>
            <sz val="9"/>
            <color indexed="81"/>
            <rFont val="Segoe UI"/>
            <family val="2"/>
          </rPr>
          <t>Leo e Dan:</t>
        </r>
        <r>
          <rPr>
            <sz val="9"/>
            <color indexed="81"/>
            <rFont val="Segoe UI"/>
            <family val="2"/>
          </rPr>
          <t xml:space="preserve">
p. 34</t>
        </r>
      </text>
    </comment>
    <comment ref="F5" authorId="0" shapeId="0" xr:uid="{00000000-0006-0000-0D00-000002000000}">
      <text>
        <r>
          <rPr>
            <b/>
            <sz val="9"/>
            <color indexed="81"/>
            <rFont val="Segoe UI"/>
            <family val="2"/>
          </rPr>
          <t>Leo e Dan:</t>
        </r>
        <r>
          <rPr>
            <sz val="9"/>
            <color indexed="81"/>
            <rFont val="Segoe UI"/>
            <family val="2"/>
          </rPr>
          <t xml:space="preserve">
p.14</t>
        </r>
      </text>
    </comment>
    <comment ref="G5" authorId="0" shapeId="0" xr:uid="{00000000-0006-0000-0D00-000003000000}">
      <text>
        <r>
          <rPr>
            <b/>
            <sz val="9"/>
            <color indexed="81"/>
            <rFont val="Segoe UI"/>
            <family val="2"/>
          </rPr>
          <t>Leo e Dan:</t>
        </r>
        <r>
          <rPr>
            <sz val="9"/>
            <color indexed="81"/>
            <rFont val="Segoe UI"/>
            <family val="2"/>
          </rPr>
          <t xml:space="preserve">
p. 86</t>
        </r>
      </text>
    </comment>
    <comment ref="D6" authorId="0" shapeId="0" xr:uid="{00000000-0006-0000-0D00-000004000000}">
      <text>
        <r>
          <rPr>
            <b/>
            <sz val="9"/>
            <color indexed="81"/>
            <rFont val="Segoe UI"/>
            <family val="2"/>
          </rPr>
          <t>Leo e Dan:</t>
        </r>
        <r>
          <rPr>
            <sz val="9"/>
            <color indexed="81"/>
            <rFont val="Segoe UI"/>
            <family val="2"/>
          </rPr>
          <t xml:space="preserve">
Pg. 100</t>
        </r>
      </text>
    </comment>
    <comment ref="E6" authorId="0" shapeId="0" xr:uid="{00000000-0006-0000-0D00-000005000000}">
      <text>
        <r>
          <rPr>
            <b/>
            <sz val="9"/>
            <color indexed="81"/>
            <rFont val="Segoe UI"/>
            <family val="2"/>
          </rPr>
          <t>Leo e Dan:</t>
        </r>
        <r>
          <rPr>
            <sz val="9"/>
            <color indexed="81"/>
            <rFont val="Segoe UI"/>
            <family val="2"/>
          </rPr>
          <t xml:space="preserve">
p. 36</t>
        </r>
      </text>
    </comment>
    <comment ref="F6" authorId="0" shapeId="0" xr:uid="{00000000-0006-0000-0D00-000006000000}">
      <text>
        <r>
          <rPr>
            <b/>
            <sz val="9"/>
            <color indexed="81"/>
            <rFont val="Segoe UI"/>
            <family val="2"/>
          </rPr>
          <t>Leo e Dan:</t>
        </r>
        <r>
          <rPr>
            <sz val="9"/>
            <color indexed="81"/>
            <rFont val="Segoe UI"/>
            <family val="2"/>
          </rPr>
          <t xml:space="preserve">
p.14</t>
        </r>
      </text>
    </comment>
    <comment ref="G6" authorId="0" shapeId="0" xr:uid="{00000000-0006-0000-0D00-000007000000}">
      <text>
        <r>
          <rPr>
            <b/>
            <sz val="9"/>
            <color indexed="81"/>
            <rFont val="Segoe UI"/>
            <family val="2"/>
          </rPr>
          <t>Leo e Dan:</t>
        </r>
        <r>
          <rPr>
            <sz val="9"/>
            <color indexed="81"/>
            <rFont val="Segoe UI"/>
            <family val="2"/>
          </rPr>
          <t xml:space="preserve">
p. 66</t>
        </r>
      </text>
    </comment>
    <comment ref="H6" authorId="0" shapeId="0" xr:uid="{00000000-0006-0000-0D00-000008000000}">
      <text>
        <r>
          <rPr>
            <b/>
            <sz val="9"/>
            <color indexed="81"/>
            <rFont val="Segoe UI"/>
            <family val="2"/>
          </rPr>
          <t>Leo e Dan:</t>
        </r>
        <r>
          <rPr>
            <sz val="9"/>
            <color indexed="81"/>
            <rFont val="Segoe UI"/>
            <family val="2"/>
          </rPr>
          <t xml:space="preserve">
p. 12</t>
        </r>
      </text>
    </comment>
    <comment ref="E7" authorId="0" shapeId="0" xr:uid="{00000000-0006-0000-0D00-000009000000}">
      <text>
        <r>
          <rPr>
            <b/>
            <sz val="9"/>
            <color indexed="81"/>
            <rFont val="Segoe UI"/>
            <family val="2"/>
          </rPr>
          <t>Leo e Dan:</t>
        </r>
        <r>
          <rPr>
            <sz val="9"/>
            <color indexed="81"/>
            <rFont val="Segoe UI"/>
            <family val="2"/>
          </rPr>
          <t xml:space="preserve">
p. 38</t>
        </r>
      </text>
    </comment>
    <comment ref="F7" authorId="0" shapeId="0" xr:uid="{00000000-0006-0000-0D00-00000A000000}">
      <text>
        <r>
          <rPr>
            <b/>
            <sz val="9"/>
            <color indexed="81"/>
            <rFont val="Segoe UI"/>
            <family val="2"/>
          </rPr>
          <t>Leo e Dan:</t>
        </r>
        <r>
          <rPr>
            <sz val="9"/>
            <color indexed="81"/>
            <rFont val="Segoe UI"/>
            <family val="2"/>
          </rPr>
          <t xml:space="preserve">
p.14</t>
        </r>
      </text>
    </comment>
    <comment ref="G7" authorId="0" shapeId="0" xr:uid="{00000000-0006-0000-0D00-00000B000000}">
      <text>
        <r>
          <rPr>
            <b/>
            <sz val="9"/>
            <color indexed="81"/>
            <rFont val="Segoe UI"/>
            <family val="2"/>
          </rPr>
          <t>Leo e Dan:</t>
        </r>
        <r>
          <rPr>
            <sz val="9"/>
            <color indexed="81"/>
            <rFont val="Segoe UI"/>
            <family val="2"/>
          </rPr>
          <t xml:space="preserve">
p. 62</t>
        </r>
      </text>
    </comment>
    <comment ref="H7" authorId="0" shapeId="0" xr:uid="{00000000-0006-0000-0D00-00000C000000}">
      <text>
        <r>
          <rPr>
            <b/>
            <sz val="9"/>
            <color indexed="81"/>
            <rFont val="Segoe UI"/>
            <family val="2"/>
          </rPr>
          <t>Leo e Dan:</t>
        </r>
        <r>
          <rPr>
            <sz val="9"/>
            <color indexed="81"/>
            <rFont val="Segoe UI"/>
            <family val="2"/>
          </rPr>
          <t xml:space="preserve">
P.12</t>
        </r>
      </text>
    </comment>
    <comment ref="F16" authorId="0" shapeId="0" xr:uid="{00000000-0006-0000-0D00-00000D000000}">
      <text>
        <r>
          <rPr>
            <b/>
            <sz val="9"/>
            <color indexed="81"/>
            <rFont val="Segoe UI"/>
            <family val="2"/>
          </rPr>
          <t>Leo e Dan:</t>
        </r>
        <r>
          <rPr>
            <sz val="9"/>
            <color indexed="81"/>
            <rFont val="Segoe UI"/>
            <family val="2"/>
          </rPr>
          <t xml:space="preserve">
p. 28</t>
        </r>
      </text>
    </comment>
    <comment ref="G16" authorId="0" shapeId="0" xr:uid="{00000000-0006-0000-0D00-00000E000000}">
      <text>
        <r>
          <rPr>
            <b/>
            <sz val="9"/>
            <color indexed="81"/>
            <rFont val="Segoe UI"/>
            <family val="2"/>
          </rPr>
          <t>Leo e Dan:</t>
        </r>
        <r>
          <rPr>
            <sz val="9"/>
            <color indexed="81"/>
            <rFont val="Segoe UI"/>
            <family val="2"/>
          </rPr>
          <t xml:space="preserve">
p. 41
</t>
        </r>
      </text>
    </comment>
    <comment ref="H16" authorId="0" shapeId="0" xr:uid="{00000000-0006-0000-0D00-00000F000000}">
      <text>
        <r>
          <rPr>
            <b/>
            <sz val="9"/>
            <color indexed="81"/>
            <rFont val="Segoe UI"/>
            <family val="2"/>
          </rPr>
          <t>Leo e Dan:</t>
        </r>
        <r>
          <rPr>
            <sz val="9"/>
            <color indexed="81"/>
            <rFont val="Segoe UI"/>
            <family val="2"/>
          </rPr>
          <t xml:space="preserve">
p. 128</t>
        </r>
      </text>
    </comment>
    <comment ref="E17" authorId="0" shapeId="0" xr:uid="{00000000-0006-0000-0D00-000010000000}">
      <text>
        <r>
          <rPr>
            <b/>
            <sz val="9"/>
            <color indexed="81"/>
            <rFont val="Segoe UI"/>
            <family val="2"/>
          </rPr>
          <t>Leo e Dan:</t>
        </r>
        <r>
          <rPr>
            <sz val="9"/>
            <color indexed="81"/>
            <rFont val="Segoe UI"/>
            <family val="2"/>
          </rPr>
          <t xml:space="preserve">
p. 101</t>
        </r>
      </text>
    </comment>
    <comment ref="F17" authorId="0" shapeId="0" xr:uid="{00000000-0006-0000-0D00-000011000000}">
      <text>
        <r>
          <rPr>
            <b/>
            <sz val="9"/>
            <color indexed="81"/>
            <rFont val="Segoe UI"/>
            <family val="2"/>
          </rPr>
          <t>Leo e Dan:</t>
        </r>
        <r>
          <rPr>
            <sz val="9"/>
            <color indexed="81"/>
            <rFont val="Segoe UI"/>
            <family val="2"/>
          </rPr>
          <t xml:space="preserve">
p. 28</t>
        </r>
      </text>
    </comment>
    <comment ref="G17" authorId="0" shapeId="0" xr:uid="{00000000-0006-0000-0D00-000012000000}">
      <text>
        <r>
          <rPr>
            <b/>
            <sz val="9"/>
            <color indexed="81"/>
            <rFont val="Segoe UI"/>
            <family val="2"/>
          </rPr>
          <t>Leo e Dan:</t>
        </r>
        <r>
          <rPr>
            <sz val="9"/>
            <color indexed="81"/>
            <rFont val="Segoe UI"/>
            <family val="2"/>
          </rPr>
          <t xml:space="preserve">
p. 41</t>
        </r>
      </text>
    </comment>
    <comment ref="H17" authorId="0" shapeId="0" xr:uid="{00000000-0006-0000-0D00-000013000000}">
      <text>
        <r>
          <rPr>
            <b/>
            <sz val="9"/>
            <color indexed="81"/>
            <rFont val="Segoe UI"/>
            <family val="2"/>
          </rPr>
          <t>Leo e Dan:</t>
        </r>
        <r>
          <rPr>
            <sz val="9"/>
            <color indexed="81"/>
            <rFont val="Segoe UI"/>
            <family val="2"/>
          </rPr>
          <t xml:space="preserve">
p. 113</t>
        </r>
      </text>
    </comment>
    <comment ref="I17" authorId="0" shapeId="0" xr:uid="{00000000-0006-0000-0D00-000014000000}">
      <text>
        <r>
          <rPr>
            <b/>
            <sz val="9"/>
            <color indexed="81"/>
            <rFont val="Segoe UI"/>
            <family val="2"/>
          </rPr>
          <t>Leo e Dan:</t>
        </r>
        <r>
          <rPr>
            <sz val="9"/>
            <color indexed="81"/>
            <rFont val="Segoe UI"/>
            <family val="2"/>
          </rPr>
          <t xml:space="preserve">
p. 27</t>
        </r>
      </text>
    </comment>
    <comment ref="F18" authorId="0" shapeId="0" xr:uid="{00000000-0006-0000-0D00-000015000000}">
      <text>
        <r>
          <rPr>
            <b/>
            <sz val="9"/>
            <color indexed="81"/>
            <rFont val="Segoe UI"/>
            <family val="2"/>
          </rPr>
          <t>Leo e Dan:</t>
        </r>
        <r>
          <rPr>
            <sz val="9"/>
            <color indexed="81"/>
            <rFont val="Segoe UI"/>
            <family val="2"/>
          </rPr>
          <t xml:space="preserve">
p. 28</t>
        </r>
      </text>
    </comment>
    <comment ref="G18" authorId="0" shapeId="0" xr:uid="{00000000-0006-0000-0D00-000016000000}">
      <text>
        <r>
          <rPr>
            <b/>
            <sz val="9"/>
            <color indexed="81"/>
            <rFont val="Segoe UI"/>
            <family val="2"/>
          </rPr>
          <t>Leo e Dan:</t>
        </r>
        <r>
          <rPr>
            <sz val="9"/>
            <color indexed="81"/>
            <rFont val="Segoe UI"/>
            <family val="2"/>
          </rPr>
          <t xml:space="preserve">
p. 41</t>
        </r>
      </text>
    </comment>
    <comment ref="H18" authorId="0" shapeId="0" xr:uid="{00000000-0006-0000-0D00-000017000000}">
      <text>
        <r>
          <rPr>
            <b/>
            <sz val="9"/>
            <color indexed="81"/>
            <rFont val="Segoe UI"/>
            <family val="2"/>
          </rPr>
          <t>Leo e Dan:</t>
        </r>
        <r>
          <rPr>
            <sz val="9"/>
            <color indexed="81"/>
            <rFont val="Segoe UI"/>
            <family val="2"/>
          </rPr>
          <t xml:space="preserve">
p. 110</t>
        </r>
      </text>
    </comment>
    <comment ref="I18" authorId="0" shapeId="0" xr:uid="{00000000-0006-0000-0D00-000018000000}">
      <text>
        <r>
          <rPr>
            <b/>
            <sz val="9"/>
            <color indexed="81"/>
            <rFont val="Segoe UI"/>
            <family val="2"/>
          </rPr>
          <t>Leo e Dan:</t>
        </r>
        <r>
          <rPr>
            <sz val="9"/>
            <color indexed="81"/>
            <rFont val="Segoe UI"/>
            <family val="2"/>
          </rPr>
          <t xml:space="preserve">
p. 27</t>
        </r>
      </text>
    </comment>
  </commentList>
</comments>
</file>

<file path=xl/sharedStrings.xml><?xml version="1.0" encoding="utf-8"?>
<sst xmlns="http://schemas.openxmlformats.org/spreadsheetml/2006/main" count="1036" uniqueCount="518">
  <si>
    <t>Dados para composição dos custos referentes a mão de obra</t>
  </si>
  <si>
    <t>Nº</t>
  </si>
  <si>
    <t>Posto</t>
  </si>
  <si>
    <t>Classificação Brasileira de Ocupações (CBO nº)</t>
  </si>
  <si>
    <t>Quantidade de Posto(s)</t>
  </si>
  <si>
    <t>Pisos Salariais Mínimos Fixados</t>
  </si>
  <si>
    <t>Garçom</t>
  </si>
  <si>
    <t>5134-05</t>
  </si>
  <si>
    <t>Copeiro</t>
  </si>
  <si>
    <t>5134-25</t>
  </si>
  <si>
    <t>Obs.:</t>
  </si>
  <si>
    <t>Postos com piso salarial mínimo fixados</t>
  </si>
  <si>
    <t>Tipo de posto</t>
  </si>
  <si>
    <t>Quantidade de posto(s)</t>
  </si>
  <si>
    <t>Haverá exigência de reposição do profissional ausente (módulo 4)</t>
  </si>
  <si>
    <t>Exigência de uniforme</t>
  </si>
  <si>
    <t>SIM</t>
  </si>
  <si>
    <t>Tabela DF X Entorno</t>
  </si>
  <si>
    <t>AUTORIZAÇÃO ESPECIAL - RIDE/DF</t>
  </si>
  <si>
    <t>REAJUSTE 2025 - Deliberação 78/2025 (https://www.gov.br/antt/pt-br/assuntos/ultimas-noticias/transporte-semiurbano-tera-a-tarifa-atualizada-a-partir-de-domingo-23-2)</t>
  </si>
  <si>
    <t>EMPRESA</t>
  </si>
  <si>
    <t>PREFIXO</t>
  </si>
  <si>
    <t>Linha</t>
  </si>
  <si>
    <t>Tipo de Outorga</t>
  </si>
  <si>
    <t>% reajuste ordinário (Del 78/25)</t>
  </si>
  <si>
    <t>CT Atualizado</t>
  </si>
  <si>
    <t>Km</t>
  </si>
  <si>
    <t>Tarifa Final em 23/02/25 - "Catraca"</t>
  </si>
  <si>
    <t>AMAZÔNIA INTER TURISMO</t>
  </si>
  <si>
    <t>Planaltina/GO - Brasilia/DF</t>
  </si>
  <si>
    <t>Autorização Especial</t>
  </si>
  <si>
    <t>Planaltina/GO - Sobradinho/DF</t>
  </si>
  <si>
    <t>Planaltina/GO - Planaltina/DF</t>
  </si>
  <si>
    <t>Formosa/GO - Planaltina/DF</t>
  </si>
  <si>
    <t>CENTRAL EXPRESSO</t>
  </si>
  <si>
    <t>Luziânia/GO - Brasília/DF</t>
  </si>
  <si>
    <t>Luziânia/GO - Gama/DF</t>
  </si>
  <si>
    <t>Luziânia/GO - Taguatinga/DF</t>
  </si>
  <si>
    <t>KANDANGO (CATEDRAL TURISMO)</t>
  </si>
  <si>
    <t>Parque Industrial Mignone/GO - Brasilia/DF</t>
  </si>
  <si>
    <t>Parque Industrial Mignone/GO- Gama/DF</t>
  </si>
  <si>
    <t>Parque Industrial Mignone/GO- Taguatinga/DF</t>
  </si>
  <si>
    <t>ROTA DO SOL</t>
  </si>
  <si>
    <t>Lago Azul (Novo Gama)/GO - Brasilia/DF</t>
  </si>
  <si>
    <t>GLOBAL TRANSPORTES RODOVIÁRIOS LTDA</t>
  </si>
  <si>
    <t>Aguas Lindas de Goias/GO - Brasilia/DF</t>
  </si>
  <si>
    <t>RM TRANSPORTE LTDA</t>
  </si>
  <si>
    <t>Santo Antonio do Descoberto/GO - Brasilia/DF</t>
  </si>
  <si>
    <t>Santo Antonio do Descoberto/GO - Taguatinga/DF</t>
  </si>
  <si>
    <t>UTB - União Transporte Brasilia</t>
  </si>
  <si>
    <t>Monte Alto/GO - Brasilia/DF</t>
  </si>
  <si>
    <t>Autorização Judicial</t>
  </si>
  <si>
    <t>Monte Alto/GO - Brazlandia/DF</t>
  </si>
  <si>
    <t>Monte Alto/GO - Taguatinga/DF</t>
  </si>
  <si>
    <t>Céu Azul/GO - Brasilia/DF</t>
  </si>
  <si>
    <t>Valparaiso de Goiás/GO - Gama/DF</t>
  </si>
  <si>
    <t>Valparaiso de Goiás/GO - Taguatinga/DF</t>
  </si>
  <si>
    <t>Cidade Ocidental/GO - Brasilia/DF</t>
  </si>
  <si>
    <t>Cidade Ocidental/GO - Taguatinga/DF</t>
  </si>
  <si>
    <t>Cidade Ocidental/GO - Gama/DF</t>
  </si>
  <si>
    <t>Novo Gama/GO - Brasília/DF</t>
  </si>
  <si>
    <t>Viação Transporte Coletivo do Entorno*</t>
  </si>
  <si>
    <t>Aguas Lindas de Goiás/GO - Brazlândia/DF</t>
  </si>
  <si>
    <t>MAIOR VALOR PARA SE CHEGAR NA RODOVIARIA DE BRASÍLIA</t>
  </si>
  <si>
    <t xml:space="preserve"> Tarifas do modo rodoviário do Serviço Básico do Sistema de Transporte Público Coletivo do Distrito Federal (Decreto Distrital nº 40.381/2020)</t>
  </si>
  <si>
    <t>CLASSIFICAÇÃO</t>
  </si>
  <si>
    <t>VALOR</t>
  </si>
  <si>
    <t>Urbana 1 (U-1) e Urbana 3 (U-3)</t>
  </si>
  <si>
    <t>Metropolitana 1 (M-1), Metropolitana 3 (M-3) e Urbana 2 (U-2)</t>
  </si>
  <si>
    <t>Metropolitana 2 (M-2)</t>
  </si>
  <si>
    <t>LINHAS</t>
  </si>
  <si>
    <t>LOCAL DE PARTIDA</t>
  </si>
  <si>
    <t>EDIFÍCIOS DA SSPDF</t>
  </si>
  <si>
    <t>0.143</t>
  </si>
  <si>
    <t xml:space="preserve"> Rodoviária do Plano Piloto</t>
  </si>
  <si>
    <t>SEDE, SEDE II, CIOB e CAB</t>
  </si>
  <si>
    <t>143.1</t>
  </si>
  <si>
    <t>143.2</t>
  </si>
  <si>
    <t>116.2</t>
  </si>
  <si>
    <t>116.4</t>
  </si>
  <si>
    <t>158.6</t>
  </si>
  <si>
    <t>SEDE DA DEFESA CIVIL</t>
  </si>
  <si>
    <t>158.1</t>
  </si>
  <si>
    <t>0.025</t>
  </si>
  <si>
    <t>0.035</t>
  </si>
  <si>
    <t>MAIOR VALOR PARA SE CHEGAR NOS EDIFÍCIOS</t>
  </si>
  <si>
    <t>Todos os postos de Trabalho</t>
  </si>
  <si>
    <t>44 horas</t>
  </si>
  <si>
    <t>nº</t>
  </si>
  <si>
    <t>Segunda</t>
  </si>
  <si>
    <t>Terça</t>
  </si>
  <si>
    <t xml:space="preserve">Quarta </t>
  </si>
  <si>
    <t>Quinta</t>
  </si>
  <si>
    <t>Sexta</t>
  </si>
  <si>
    <t xml:space="preserve">Sábado </t>
  </si>
  <si>
    <t>Domingo</t>
  </si>
  <si>
    <t>Total</t>
  </si>
  <si>
    <t>dias ef. Trab:</t>
  </si>
  <si>
    <t>Total de horas</t>
  </si>
  <si>
    <t>Obs.</t>
  </si>
  <si>
    <t xml:space="preserve"> O cálculo dos dias efetivamente trabalhados considerou uma escala de 44 horas semanais com adoção de mês comercial e semana inglesa (segunda a quinta trabalho com duração de 9h e sexta com duração de 8h).</t>
  </si>
  <si>
    <t>VALE TRANSPORTE</t>
  </si>
  <si>
    <t>Dias efetivamente trabalhados por mês</t>
  </si>
  <si>
    <t>Ida</t>
  </si>
  <si>
    <t>Volta</t>
  </si>
  <si>
    <t>Valor diário</t>
  </si>
  <si>
    <t>Valor mensal</t>
  </si>
  <si>
    <t>cidade satélite ou entorno  até a  rodoviária</t>
  </si>
  <si>
    <t>rodoviária - SSPDF</t>
  </si>
  <si>
    <t>SSPDF - rodoviária</t>
  </si>
  <si>
    <t xml:space="preserve">rodoviária até a cidade satélite ou entorno  </t>
  </si>
  <si>
    <t>Observação:</t>
  </si>
  <si>
    <t>1) As licitantes poderão cotar valores inferiores para o vale-transporte, o que não exime o cumprimento do disposto na Lei nº 7.418/1985.</t>
  </si>
  <si>
    <t>Valor Considerado</t>
  </si>
  <si>
    <t>Fonte dos Dados</t>
  </si>
  <si>
    <t>Consulta site ANTT - (https://www.gov.br/antt/pt-br/assuntos/ultimas-noticias/transporte-semiurbano-tera-a-tarifa-atualizada-a-partir-de-domingo-23-2)</t>
  </si>
  <si>
    <t xml:space="preserve"> Decreto Distrital nº 40.381/2020</t>
  </si>
  <si>
    <t>Auxílio-Alimentação</t>
  </si>
  <si>
    <t>Postos - Diurnos</t>
  </si>
  <si>
    <t>Dias Efetivamente Trabalhados por Mês</t>
  </si>
  <si>
    <t>Vale-alimentação</t>
  </si>
  <si>
    <t>Valor Bruto</t>
  </si>
  <si>
    <t>Valores unitários de auxílio alimentação calculados, conforme Cláusula Décima da Convenção Coletiva de Trabalho 2025/2026, celebrada entre o Sindicato das empresas de asseio, conservação, trabalhos temporário e serviços terceirizáveis do DF e o Sindicato dos emp de empresas de asseio, conservação, trab temporário, prestação de serviços e sev terceirizáveis do DF (SINDISERVICOS/DF), registrada no MTE em 30/01/2025.</t>
  </si>
  <si>
    <t xml:space="preserve">PROPOSTA VENCEDORA </t>
  </si>
  <si>
    <t>QUANTITATIVO ESTIMADO MENSAL DE MATERIAIS DE CONSUMO POR COPA</t>
  </si>
  <si>
    <t>VALOR DA LICITAÇÃO</t>
  </si>
  <si>
    <t>SERVIÇOS DE COPA</t>
  </si>
  <si>
    <t>ITEM</t>
  </si>
  <si>
    <t>ESPECIFICAÇÃO</t>
  </si>
  <si>
    <t>UNID.</t>
  </si>
  <si>
    <t>QTD.</t>
  </si>
  <si>
    <t>VALOR UNITARIO</t>
  </si>
  <si>
    <t>VALOR MANSAL POR COPA</t>
  </si>
  <si>
    <t>QTD DE COPA</t>
  </si>
  <si>
    <t>VALOR MENSAL ESTIMADO</t>
  </si>
  <si>
    <t>QTD DE MESES</t>
  </si>
  <si>
    <t>VALOR ANUAL ESTIMADO</t>
  </si>
  <si>
    <t xml:space="preserve">VALOR UNITÁRIO </t>
  </si>
  <si>
    <t>VALOR TOTAL</t>
  </si>
  <si>
    <t>Esponja dupla face multi-uso, medida aproximada 110 x 75 x 20mm (podendo haver uma variação de 5% para mais + ou para menos).</t>
  </si>
  <si>
    <t> Unidade</t>
  </si>
  <si>
    <t>Detergente líquido hipoalergênico, biodegradável, atóxico, neutro, testado dermatologicamente, primeira qualidade; embalagem 500ml, descartável com bico dosador (com comprovação do registro no Ministério da saúde).</t>
  </si>
  <si>
    <t>Unidade</t>
  </si>
  <si>
    <t>Pano de prato, confeccionado em 100% algodão, admitido o tipo "cru", branco alvejado,  embainhado em todas as laterais, nas medidas mínimas de 40x60 cm (podendo haver uma variação de 5% para mais + ou para menos).</t>
  </si>
  <si>
    <t>Coador de flanela para café tamanho padrão para máquina de café de 10L.</t>
  </si>
  <si>
    <t>Lã de aço, textura macia, fios homogêneos de espessura inferior aos fios de palha de aço, com abrasividade nº 0; embalagem: pacote contendo 8 unidades.</t>
  </si>
  <si>
    <t>Pacote</t>
  </si>
  <si>
    <t>Água sanitária, alvejante de líquido transparente, de cor levemente amarelada com composição, em hipoclorito de sódio, hidróxido de sódio, carbonato de sódio e água teor de cloro ativo: 2,0 a 2,5% pip. Produto a base de cloro. O produto deve ter registro no ministério da saúde. Embalagem plástica com 1000 ml.</t>
  </si>
  <si>
    <t>Litro</t>
  </si>
  <si>
    <t>Álcool comum liquido para higienização, embalagem descartável de 1000 ml.</t>
  </si>
  <si>
    <t>Sabão em barra neutra 200gr, com composição, em sabão base de ácido graxo, glicerina, conservante, sal inorgânico e água.</t>
  </si>
  <si>
    <t>Sabão em pó, com a composição, em tensoativo aniônico, tamponantes,  coadjuvantes, sinergista corantes, enzimas, branqueador óptico, essência, água, alvejante, carga, alquil benzeno sulfonato de sódio e tensoativo biodegradável.</t>
  </si>
  <si>
    <t>kg</t>
  </si>
  <si>
    <t>ESTIMATIVA TOTAL</t>
  </si>
  <si>
    <t>Observações</t>
  </si>
  <si>
    <t>Os itens, constantes da planilha de materiais de consumo sob demanda para as copa, serão pagos pelo Contratante de acordo com os itens efetivamente demandados no mês. Caso algum(ns) do(s) item(ns) previsto(s) na presente planilha apresente(m) quantidade(s) fracionária(s), para fins de composição do quantitativo estimado mensal a ser demandado, quando da efetiva solicitação de fornecimento de determinado item, cujo quantitativo fracionário for incompatível com a essência do objeto, a respectiva quantidade será ajustada no pedido para contemplar unidade(s) inteira(s).</t>
  </si>
  <si>
    <r>
      <rPr>
        <u/>
        <sz val="14"/>
        <color theme="1"/>
        <rFont val="Arial"/>
      </rPr>
      <t>Os quantitativos estimados mensais constantes da tabela cima deverão ser obrigatoriamente cotados pela licitante em sua proposta</t>
    </r>
    <r>
      <rPr>
        <sz val="14"/>
        <color theme="1"/>
        <rFont val="Arial"/>
      </rPr>
      <t xml:space="preserve">, a  fim de assegurar a manutenção dos princípios da isonomia e do julgamento objetivo do certame, </t>
    </r>
    <r>
      <rPr>
        <b/>
        <sz val="14"/>
        <color theme="1"/>
        <rFont val="Arial"/>
      </rPr>
      <t>sendo expressamente proibido à alteração das quantidades de materiais de consumo sob demanda para os serviços de  copa previstas nesta Planilha</t>
    </r>
    <r>
      <rPr>
        <sz val="14"/>
        <color theme="1"/>
        <rFont val="Arial"/>
      </rPr>
      <t>.</t>
    </r>
  </si>
  <si>
    <r>
      <rPr>
        <b/>
        <u/>
        <sz val="14"/>
        <color theme="1"/>
        <rFont val="Arial"/>
      </rPr>
      <t>Serão desclassificadas as propostas que apresentarem preços unitários superiores aos respectivos preços unitários estimados para a contratação</t>
    </r>
    <r>
      <rPr>
        <sz val="14"/>
        <color theme="1"/>
        <rFont val="Arial"/>
      </rPr>
      <t>,  constante das Planilhas de Materiais de consumo sob demanda, observadas as hipóteses  de retificação  de que trata o o Edital.</t>
    </r>
  </si>
  <si>
    <t>UNIFORME PARA GARÇOM OU GARÇONETE OU COPEIRO</t>
  </si>
  <si>
    <t>Itens</t>
  </si>
  <si>
    <t>N° de peças a serem fornecidas no início do contrato (por profissional)</t>
  </si>
  <si>
    <t>N° de peças a serem fornecidas no sexto mês de contrato (por profissional)</t>
  </si>
  <si>
    <t>Peças</t>
  </si>
  <si>
    <t>Quantidade anual</t>
  </si>
  <si>
    <t>Valor unitario estimado</t>
  </si>
  <si>
    <t>Valor total estimado anual</t>
  </si>
  <si>
    <t>Rateio por 12 meses</t>
  </si>
  <si>
    <t>Calça social, com zíper, com passante para cinto (masculino) Calça tipo esporte fino, com zíper, na cor preta (feminino), cor preto - Oxford 100% poliéster.</t>
  </si>
  <si>
    <t>Terno ou Blazer, em tecido tipo microfibra, forrado internamente, contendo, com dois bolsos inferiores (modelo tradicional Masculino/Feminino), com bordado com a identificação da empresa, cor preto - Tipo microfibra.</t>
  </si>
  <si>
    <t>Camisa, modelo social, com mangas compridas, com botões nos punhos, com bordado com a identificação da empresa no lado superior esquerdo (modelo tradicional masculino/ feminino), cor branca - 50% Algodão e 50% Poliéster.</t>
  </si>
  <si>
    <t>Par de sapatos social masculino/ feminino em couro macio, salto baixo, com solado emborrachado antiderrapante, cor preto - couro.</t>
  </si>
  <si>
    <t>Gravata, modelo borboleta, cor preto - cetim.</t>
  </si>
  <si>
    <t>Colete devidamente forrado com bordado com a identificação da empresa,  preto - Oxford.</t>
  </si>
  <si>
    <t>Par de meias social de boa qualidade, cor preto - 60% algodão, 39% poliamida e 1% elastano.</t>
  </si>
  <si>
    <t>Cinto preto com fivela prateada (masculino), cor preto - couro.</t>
  </si>
  <si>
    <t>Valor total estimado</t>
  </si>
  <si>
    <t>UNIFORME PARA COPEIRA</t>
  </si>
  <si>
    <t>Calça social, com zíper.</t>
  </si>
  <si>
    <t>Blusa manga curta e/ ou comprida, abotoamento frontal, com gola colarinho e bordado com a identificação da empresa no lado superior esquerdo.</t>
  </si>
  <si>
    <t>Par de sapatos social em couro macio, tipo mocassim, salto até 3cm ou sapatilha em couro, antiderrapantes, de boa qualidade.</t>
  </si>
  <si>
    <t>Par de meias social 3/4 de boa qualidade.</t>
  </si>
  <si>
    <t>Touca com aba e filó.</t>
  </si>
  <si>
    <t>Agasalho de inverno aberto com fechamento em zíper com bordado com a identificação da empresa no lado superior esquerdo.</t>
  </si>
  <si>
    <t>Crachá.</t>
  </si>
  <si>
    <t>Observações:</t>
  </si>
  <si>
    <t>A apropriação dos Custos Indiretos, Lucros e Tributos (BDI - Módulo 6) é feita na Planilha Resumo dos Preços dos Serviços.</t>
  </si>
  <si>
    <t>De modo assegurar a manutenção dos princípios da isonomia e do julgamento objetivo do certame, é expressamente proibido à alteração dos tipos e dos quantitativos de uniformes, constantes das planilhas de uniformes para os postos de serviços.</t>
  </si>
  <si>
    <t>O primeiro conjunto de uniforme deverá ser entregue no prazo de até 15 (quinze) dias, a contar da data de assinatura do contrato.</t>
  </si>
  <si>
    <t>Após o fornecimento inicial, os conjuntos de uniformes deverão ser entregues aos funcionários, no máximo, até o 10º (décimo) dia útil de cada semestre, na presença da fiscalização do contrato administrativo.</t>
  </si>
  <si>
    <t>Todos os modelos de uniformes deverão ser aprovados pela fiscalização do contrato.</t>
  </si>
  <si>
    <t>No custo direto mensal ofertado para o fornecimento dos uniformes deverá estar contemplado ainda a obrigação de a CONTRATADA fornecer aos funcionários, gratuitamente, Equipamento de Proteção Individual (EPI) adequado ao risco da atividade exercida e em perfeito estado de conservação e funcionamento, nos termos da NR-06 (ABNT).</t>
  </si>
  <si>
    <t>No serviço de coperagem há dois tipos de uniformes (masculino e feminino) com dois valores distintos, na presente precificação utilizou-se o maior valor entre os dois tipos de uniformes. Desse modo, o valor ofetado na planilha da empresa a ser contratada garantirá tanto a ofertar do modelo feminino quanto do modelo masculino.</t>
  </si>
  <si>
    <t>Módulo 02 - Encargos e Benefícios Anuais, Mensais e Diários</t>
  </si>
  <si>
    <t>Submódulo 2.2 - Encargos Previdenciários, FGTS e outras contribuições</t>
  </si>
  <si>
    <t>%</t>
  </si>
  <si>
    <t>A</t>
  </si>
  <si>
    <t xml:space="preserve">INSS (Art. 22, Inciso I, da Lei nº. 8.212/91) </t>
  </si>
  <si>
    <t>B</t>
  </si>
  <si>
    <r>
      <t xml:space="preserve">SESI ou </t>
    </r>
    <r>
      <rPr>
        <b/>
        <sz val="12"/>
        <color theme="1"/>
        <rFont val="Arial"/>
      </rPr>
      <t>SESC</t>
    </r>
    <r>
      <rPr>
        <sz val="12"/>
        <color theme="1"/>
        <rFont val="Arial"/>
      </rPr>
      <t xml:space="preserve"> ou SEST </t>
    </r>
  </si>
  <si>
    <t>C</t>
  </si>
  <si>
    <r>
      <t xml:space="preserve">SENAI ou </t>
    </r>
    <r>
      <rPr>
        <b/>
        <sz val="12"/>
        <color theme="1"/>
        <rFont val="Arial"/>
      </rPr>
      <t>SENAC</t>
    </r>
    <r>
      <rPr>
        <sz val="12"/>
        <color theme="1"/>
        <rFont val="Arial"/>
      </rPr>
      <t xml:space="preserve"> ou SENAT</t>
    </r>
  </si>
  <si>
    <t>D</t>
  </si>
  <si>
    <t>INCRA (Decreto-Lei nº 1.146/70, Lei nº. 2.613/55)</t>
  </si>
  <si>
    <t>E</t>
  </si>
  <si>
    <t>Salário Educação (Lei 9.424/96, 9.766/98, Decreto 6.003/06 e Art. 212 § 5º CF)</t>
  </si>
  <si>
    <t>F</t>
  </si>
  <si>
    <t>FGTS (Art. 15 da Lei nº 8.036/90, Art. 7º, § 3º da CF)</t>
  </si>
  <si>
    <t>G</t>
  </si>
  <si>
    <r>
      <t>Riscos Ambientais do Trabalho - GILRAT  (Lei nº 8.212/91, Lei 10.666/03)- (</t>
    </r>
    <r>
      <rPr>
        <b/>
        <sz val="12"/>
        <color theme="1"/>
        <rFont val="Arial"/>
      </rPr>
      <t>RAT x FAP</t>
    </r>
    <r>
      <rPr>
        <sz val="12"/>
        <color theme="1"/>
        <rFont val="Arial"/>
      </rPr>
      <t>)</t>
    </r>
  </si>
  <si>
    <r>
      <t>GIL</t>
    </r>
    <r>
      <rPr>
        <b/>
        <sz val="12"/>
        <color theme="1"/>
        <rFont val="Arial"/>
      </rPr>
      <t xml:space="preserve">RAT </t>
    </r>
  </si>
  <si>
    <t>FAP</t>
  </si>
  <si>
    <t>H</t>
  </si>
  <si>
    <t xml:space="preserve">SEBRAE (Lei nº 8.029/90, art. 8º, alterados pelas Leis nºs: 8.154/90 e 11.080/04) </t>
  </si>
  <si>
    <t>Submódulo 2.2 - Encargos Previdenciários, FGTS e outras contribuições:</t>
  </si>
  <si>
    <t>Submódulo 2.3 - 13º Salário e Adiconal de Férias</t>
  </si>
  <si>
    <t>13º Salário</t>
  </si>
  <si>
    <t>Gratificação de Natal, instituída pela Lei nº 4.090, de 13 de julho de 1962.</t>
  </si>
  <si>
    <t xml:space="preserve">÷ </t>
  </si>
  <si>
    <t>Adicional de Férias</t>
  </si>
  <si>
    <t>Artigos 7º, XVII, da CF/88 e Arts. 129 a 153 da CLT.</t>
  </si>
  <si>
    <t>÷</t>
  </si>
  <si>
    <t>Subtotal</t>
  </si>
  <si>
    <t>Incidência do submódulo 2.2 sobre 13º e adicional de férias</t>
  </si>
  <si>
    <t>x</t>
  </si>
  <si>
    <t>Inc. Multa do FGTS rescisão sem justa causa sobre 13º e Adicional de Férias</t>
  </si>
  <si>
    <t>Submódulo 2.3 - 13º Salário e Adiconal de Férias:</t>
  </si>
  <si>
    <t>Submódulo 2.4 - Afastamento Maternidade ¹</t>
  </si>
  <si>
    <t>Férias Proporcionais relativas ao afastamento maternidade</t>
  </si>
  <si>
    <t>Art. 7º, Inciso XVIII da CF, Lei 8.212/91, 10.421/02</t>
  </si>
  <si>
    <t>Incidência do sub módulo 2.2 sobre as férias proporcionais</t>
  </si>
  <si>
    <t>Submódulo 2.4 - Afastamento Maternidade:</t>
  </si>
  <si>
    <t>¹ Cáculo conforme RE 576967 e Solução de Consulta RFB Cosit nº 127/2021</t>
  </si>
  <si>
    <t>Módulo 3 - Provisão para Rescisão</t>
  </si>
  <si>
    <t>Aviso Prévio Indenizado</t>
  </si>
  <si>
    <t>(</t>
  </si>
  <si>
    <t>)</t>
  </si>
  <si>
    <t>13º e Férias sobre aviso prévio indenizado</t>
  </si>
  <si>
    <t>+</t>
  </si>
  <si>
    <t xml:space="preserve">Observa-se que os encargos sociais do Submódulo 2.2 referente a parcela do Aviso Prévio Indenizado incide apenas sobre o reflexo no 13º salário (gratificação natalina), conforme as seguintes Soluções de Consulta da Receita Federal: SOLUÇÃO DE CONSULTA DISIT/SRRF04 Nº 4013, DE 08 DE JUNHO DE 2017 ; SOLUÇÃO DE CONSULTA DISIT/SRRF03 Nº 3008, DE 03 DE AGOSTO DE 2017; e SOLUÇÃO DE CONSULTA DISIT/SRRF04 Nº 4021, DE 22 DE MARÇO DE 2019. </t>
  </si>
  <si>
    <r>
      <t xml:space="preserve">Incid. do submódulo 2.2 </t>
    </r>
    <r>
      <rPr>
        <b/>
        <sz val="12"/>
        <color theme="1"/>
        <rFont val="Arial"/>
      </rPr>
      <t>sem FGTS</t>
    </r>
    <r>
      <rPr>
        <sz val="12"/>
        <color theme="1"/>
        <rFont val="Arial"/>
      </rPr>
      <t xml:space="preserve"> sobre o reflexo do aviso prévio indenizado no 13º</t>
    </r>
  </si>
  <si>
    <t>Incidência do FGTS do aviso prévio indenizado</t>
  </si>
  <si>
    <t>Multa do FGTS (Indenização nas rescisões sem justa causa)</t>
  </si>
  <si>
    <t>Leis n.ºs 8.036/1990 e 9.491/1997, considerando que ao término do contrato 100% dos empregados terão rescisões sem justa causa. Observe-se que o art. 12 da Lei nº 13.932/2019 extinguiu, a partir de 1º de janeiro de 2020, a contribuição social instituída por meio do art. 1º da Lei Complementar nº 110/2001.</t>
  </si>
  <si>
    <t>Indenização Adicional. Fundamento Legal: Artigo 9º da Lei n.º 7.238/1984.</t>
  </si>
  <si>
    <t>Módulo 4 - Custo de Reposição do Profissional Ausente</t>
  </si>
  <si>
    <t>Reposição relativa a Férias</t>
  </si>
  <si>
    <t>O título férias do Módulo 4 refere-se ao provisonamento de 1/12 avos do salário mensal do posto para reposição da mão-de-obra na ocorrência do evento férias</t>
  </si>
  <si>
    <t>Reposição referente a Licença Paternidade</t>
  </si>
  <si>
    <t>Reposição em razão de outras ausências legais</t>
  </si>
  <si>
    <t>Reposição devido a concessão de Aviso Prévio Trabalhado</t>
  </si>
  <si>
    <t>Subtotal de A a D</t>
  </si>
  <si>
    <t>Incidência do submódulo 2.2 sobre o Custo de Reposição (A a D)</t>
  </si>
  <si>
    <t>Reposição relativa à Ausência por doença</t>
  </si>
  <si>
    <t>Reposição relativa à Ausência por Acidente de Trabalho</t>
  </si>
  <si>
    <t>Segundo a Solução de Consulta RFB COSIT nº 25/2022 - "Assim, em atenção à decisão proferida sob o rito de recursos repetitivos pelo Superior Tribinal de Justiça (STJ) no Recurso Especial nº 1.230.957/RS, o Parecer SEI nº 1446/2021/ME, foi aprovado pelo Procurador-Geral da Fazenda Nacional através do Despacho nº 40/2021/PGFN-ME, em 2 de fevereiro de 2021. Diante do exposto, a RFB passou a vincular-se ao entendimento judicial que reconhece que a contribuição previdenciária patronal não incide sobre a importância paga pelo empregador ao empregado nos quinze primeiros dias que antecedem o auxílio-doença".</t>
  </si>
  <si>
    <t>Subtotal A a D e F a G</t>
  </si>
  <si>
    <t>Incidência do submódulos 2.3, 2.4 e módulo 3 sobre o Custo de Reposição</t>
  </si>
  <si>
    <t>QUADRO RESUMO  - CONTRIBUIÇÕES SOCIAIS E CUSTOS TRABALHISTAS</t>
  </si>
  <si>
    <t>Total percentual das contribuições sociais e custos trabalhistas</t>
  </si>
  <si>
    <t>CNAE</t>
  </si>
  <si>
    <t>RAT</t>
  </si>
  <si>
    <t>FPAS</t>
  </si>
  <si>
    <t>Descrição da Atividade</t>
  </si>
  <si>
    <t>81.11-7/00</t>
  </si>
  <si>
    <t>limpeza e conservação de prédios</t>
  </si>
  <si>
    <t>Art. 87, inciso I da IN RFB nº 2110/2022.</t>
  </si>
  <si>
    <t>Planilha de Custo e Formação de Preços  - Posto de Serviço com dedicação exclusiva de mão de obra</t>
  </si>
  <si>
    <t>DESCRIÇÃO</t>
  </si>
  <si>
    <t>PERCENTUAL</t>
  </si>
  <si>
    <t>VALOR (R$)</t>
  </si>
  <si>
    <t>Módulo 1: Composição da Remuneração</t>
  </si>
  <si>
    <t>Salário-Base</t>
  </si>
  <si>
    <t xml:space="preserve">Adicional de Periculosidade </t>
  </si>
  <si>
    <t>Base de Cálculo Adicional de Insalubridade</t>
  </si>
  <si>
    <t>Adicional de Insalubridade</t>
  </si>
  <si>
    <t>Adicional Noturno</t>
  </si>
  <si>
    <t>Hora Noturna Adicional</t>
  </si>
  <si>
    <t>Adicional de Hora Extra</t>
  </si>
  <si>
    <t>Subtotal da Remuneração para incidência das contribuições sociais e custos trabalhistas:</t>
  </si>
  <si>
    <t xml:space="preserve">Verbas de natureza indenizatória </t>
  </si>
  <si>
    <t xml:space="preserve">Indenização por Intervalo Intrajornada não concedido </t>
  </si>
  <si>
    <t>I</t>
  </si>
  <si>
    <t xml:space="preserve">Incidência do  Submódulo 2.2 (SC´s - RFB COSIT nºs 108, de 07/06/2023 e 99009, de 14/08/2023) </t>
  </si>
  <si>
    <t>Total da Remuneração – Módulo 1:</t>
  </si>
  <si>
    <t>Módulo 2: Encargos e Benefícios Anuais, Mensais e Diários</t>
  </si>
  <si>
    <t>Submódulo 2.1 – Benefícios Mensais e Diários:</t>
  </si>
  <si>
    <t>Transporte</t>
  </si>
  <si>
    <t>Desconto Legal do Vale-Transporte (6% salário-base)</t>
  </si>
  <si>
    <t>Auxílio-Saúde</t>
  </si>
  <si>
    <t>Assistência Funeral</t>
  </si>
  <si>
    <t>Assistência Odontológica</t>
  </si>
  <si>
    <t>Contribuição Assistencial Patronal</t>
  </si>
  <si>
    <t>Total de Benefícios Mensais e Diários - Submódulo 2.1:</t>
  </si>
  <si>
    <t>Submódulo 2.2 – Encargos Previdenciários, FGTS e outras contribuições:</t>
  </si>
  <si>
    <r>
      <rPr>
        <b/>
        <sz val="12"/>
        <color theme="1"/>
        <rFont val="Arial"/>
      </rPr>
      <t>INSS</t>
    </r>
    <r>
      <rPr>
        <sz val="12"/>
        <color theme="1"/>
        <rFont val="Arial"/>
      </rPr>
      <t xml:space="preserve"> (Lei nº 8.212/91, art. 22, inciso I)</t>
    </r>
  </si>
  <si>
    <r>
      <rPr>
        <b/>
        <sz val="12"/>
        <color theme="1"/>
        <rFont val="Arial"/>
      </rPr>
      <t>SESI</t>
    </r>
    <r>
      <rPr>
        <sz val="12"/>
        <color theme="1"/>
        <rFont val="Arial"/>
      </rPr>
      <t xml:space="preserve"> (Lei nº 8.036/90, art. 30 e Decreto Lei nº 9.403/46) ou </t>
    </r>
    <r>
      <rPr>
        <b/>
        <sz val="12"/>
        <color theme="1"/>
        <rFont val="Arial"/>
      </rPr>
      <t>SESC</t>
    </r>
    <r>
      <rPr>
        <sz val="12"/>
        <color theme="1"/>
        <rFont val="Arial"/>
      </rPr>
      <t xml:space="preserve"> (Lei nº 8.036/90, art.30 e Decreto Lei nº 9.853/46) ou </t>
    </r>
    <r>
      <rPr>
        <b/>
        <sz val="12"/>
        <color theme="1"/>
        <rFont val="Arial"/>
      </rPr>
      <t>SEST</t>
    </r>
    <r>
      <rPr>
        <sz val="12"/>
        <color theme="1"/>
        <rFont val="Arial"/>
      </rPr>
      <t xml:space="preserve"> (art. 7º da Lei nº 8.706/93)</t>
    </r>
  </si>
  <si>
    <r>
      <t>SENAI</t>
    </r>
    <r>
      <rPr>
        <sz val="12"/>
        <color theme="1"/>
        <rFont val="Arial"/>
      </rPr>
      <t xml:space="preserve"> (Decreto Lei nº 4.048/42) ou </t>
    </r>
    <r>
      <rPr>
        <b/>
        <sz val="12"/>
        <color theme="1"/>
        <rFont val="Arial"/>
      </rPr>
      <t>SENAC</t>
    </r>
    <r>
      <rPr>
        <sz val="12"/>
        <color theme="1"/>
        <rFont val="Arial"/>
      </rPr>
      <t xml:space="preserve"> (Decreto Lei nº 8.621/46) ou </t>
    </r>
    <r>
      <rPr>
        <b/>
        <sz val="12"/>
        <color theme="1"/>
        <rFont val="Arial"/>
      </rPr>
      <t>SENAT</t>
    </r>
    <r>
      <rPr>
        <sz val="12"/>
        <color theme="1"/>
        <rFont val="Arial"/>
      </rPr>
      <t xml:space="preserve"> (art. 7º da Lei nº 8.706/93)</t>
    </r>
  </si>
  <si>
    <r>
      <rPr>
        <b/>
        <sz val="12"/>
        <color theme="1"/>
        <rFont val="Arial"/>
      </rPr>
      <t>INCRA</t>
    </r>
    <r>
      <rPr>
        <sz val="12"/>
        <color theme="1"/>
        <rFont val="Arial"/>
      </rPr>
      <t xml:space="preserve"> (Decreto-Lei nº 1.146/70 e Lei nº 2.613/55)</t>
    </r>
  </si>
  <si>
    <r>
      <rPr>
        <b/>
        <sz val="12"/>
        <color theme="1"/>
        <rFont val="Arial"/>
      </rPr>
      <t>Salário Educação</t>
    </r>
    <r>
      <rPr>
        <sz val="12"/>
        <color theme="1"/>
        <rFont val="Arial"/>
      </rPr>
      <t xml:space="preserve"> (Lei 9.424/96, art.15, Lei nº 9.766/98 e Decreto nº 6.003/06, art 2º)</t>
    </r>
  </si>
  <si>
    <r>
      <rPr>
        <b/>
        <sz val="12"/>
        <rFont val="Arial"/>
      </rPr>
      <t>FGTS</t>
    </r>
    <r>
      <rPr>
        <sz val="12"/>
        <rFont val="Arial"/>
      </rPr>
      <t xml:space="preserve"> (Lei nº 8.036/90, art.15)</t>
    </r>
  </si>
  <si>
    <r>
      <rPr>
        <b/>
        <sz val="12"/>
        <color theme="1"/>
        <rFont val="Arial"/>
      </rPr>
      <t>RAT</t>
    </r>
    <r>
      <rPr>
        <sz val="12"/>
        <color theme="1"/>
        <rFont val="Arial"/>
      </rPr>
      <t xml:space="preserve"> X </t>
    </r>
    <r>
      <rPr>
        <b/>
        <sz val="12"/>
        <color theme="1"/>
        <rFont val="Arial"/>
      </rPr>
      <t>FAP</t>
    </r>
    <r>
      <rPr>
        <sz val="12"/>
        <color theme="1"/>
        <rFont val="Arial"/>
      </rPr>
      <t xml:space="preserve"> (Lei nº 8.212/91, art. 22, inciso II e Lei nº 10.666/03, art. 10)</t>
    </r>
  </si>
  <si>
    <r>
      <rPr>
        <b/>
        <sz val="12"/>
        <color theme="1"/>
        <rFont val="Arial"/>
      </rPr>
      <t>SEBRAE</t>
    </r>
    <r>
      <rPr>
        <sz val="12"/>
        <color theme="1"/>
        <rFont val="Arial"/>
      </rPr>
      <t xml:space="preserve"> (Lei nº 8.029/90, art. 8º, alterado pelas Leis nºs: 8.154/90 e 11.080/04)</t>
    </r>
  </si>
  <si>
    <t>Total Encargos Previdenciários, FGTS e outras contribuições - Submódulo 2.2:</t>
  </si>
  <si>
    <t>Submódulo 2.3 – 13º Salário e Adicional de Férias</t>
  </si>
  <si>
    <t>Incidência do submódulo 2.2 sobre 13º Salário e Adicional de Férias</t>
  </si>
  <si>
    <t>Total 13º Salário e Adicional de Férias – Submódulo 2.3:</t>
  </si>
  <si>
    <t>Submódulo 2.4 – Afastamento-Maternidade:</t>
  </si>
  <si>
    <t>Férias Proporcionais ao Afastamento-Maternidade</t>
  </si>
  <si>
    <t>Incidência do submódulo 2.2 sobre as Férias Proporcionais</t>
  </si>
  <si>
    <t>Total Afastamento-Maternidade – Submódulo 2.4:</t>
  </si>
  <si>
    <t>Total dos Encargos e Benefícios Anuais, Mensais e Diários - Módulo 2:</t>
  </si>
  <si>
    <t>Módulo 3: Provisão para Rescisão</t>
  </si>
  <si>
    <r>
      <t xml:space="preserve">Incid. do submódulo 2.2 </t>
    </r>
    <r>
      <rPr>
        <b/>
        <sz val="12"/>
        <rFont val="Arial"/>
      </rPr>
      <t>sem FGTS</t>
    </r>
    <r>
      <rPr>
        <sz val="12"/>
        <rFont val="Arial"/>
      </rPr>
      <t xml:space="preserve"> sobre o reflexo do aviso prévio indenizado no 13º</t>
    </r>
  </si>
  <si>
    <t>Incidência do FGTS sobre o aviso prévio indenizado</t>
  </si>
  <si>
    <t>Multa do FGTS para Rescisão sem justa Causa</t>
  </si>
  <si>
    <t>Indenização Adicional</t>
  </si>
  <si>
    <t>Total da Provisão para Rescisão – Módulo 3:</t>
  </si>
  <si>
    <t>Módulo 4 – Custo de Reposição do Profissional Ausente</t>
  </si>
  <si>
    <t>Reposição referente a Licença-Paternidade</t>
  </si>
  <si>
    <t>Reposição relativa à Ausência por Doença</t>
  </si>
  <si>
    <t>Incidência dos submódulos 2.3, 2.4 e Módulo 3 sobre o Custo de Reposição</t>
  </si>
  <si>
    <t>Total do Custo de Reposição do Profissional Ausente – Módulo 4:</t>
  </si>
  <si>
    <t>Total de Encargos Sociais e Trabalhistas constantes dos Módulos 2 (2.2, 2.3 e 2.4), 3 e 4:</t>
  </si>
  <si>
    <t>Módulo 5: Insumos Diversos</t>
  </si>
  <si>
    <t>Uniformes</t>
  </si>
  <si>
    <t>Equipamentos a serem compartilhados entre os diversos turnos de execução</t>
  </si>
  <si>
    <t>Equipamentos individulizados por profissional do posto</t>
  </si>
  <si>
    <t>Total de Insumos Diversos – Módulo 5:</t>
  </si>
  <si>
    <t xml:space="preserve">SubTotal Módulos 1, 2, 3,4 e 5:      </t>
  </si>
  <si>
    <t>1)</t>
  </si>
  <si>
    <t xml:space="preserve">Cálculo do módulo 1 e submódulo 2.1 conforme convenção Coletiva de Trabalho 2025/2026, celebrada entre Sindicato das Empresas de Asseio, Conservação, Trabalho Temporários e Serviços Terceirizáveis do Distrito Federal (SEAC/DF) e o Sindicado dos Empregados das Empresas de Asseio, Conservação, Trabalhos Temporários e Serviços Terceirizáveis do DF (SINDISERVICOS/DF), registrada no MTE, em 30/01/2025. </t>
  </si>
  <si>
    <t>2)</t>
  </si>
  <si>
    <t>Por força da Lei Distrital nº 4.799/2012, a CONTRATADA deverá custear plano de saúde aos prestadores de serviços vinculados à presente contratação.</t>
  </si>
  <si>
    <t>3)</t>
  </si>
  <si>
    <t>A apropriação dos Custos Indiretos, Lucros e Tributos (BDI - Módulo 6) é feita  na Planilha Resumo dos Preços dos Serviços.</t>
  </si>
  <si>
    <t>Subtotal da Remuneração para incidência das contribuções sociais e custos trabalhistas:</t>
  </si>
  <si>
    <t>RESUMO DOS PREÇOS DOS SERVIÇOS - GARÇOM</t>
  </si>
  <si>
    <t>UNID. DE MEDIDA</t>
  </si>
  <si>
    <t>QUANT.</t>
  </si>
  <si>
    <t>PREÇO UNITÁRIO</t>
  </si>
  <si>
    <t>SUBTOTAL</t>
  </si>
  <si>
    <t>TOTAL MENSAL</t>
  </si>
  <si>
    <t>Serviços Contínuos de Garçom</t>
  </si>
  <si>
    <t>1.1</t>
  </si>
  <si>
    <t xml:space="preserve"> Módulo 6 Custos Indiretos, Lucro e Tributos ( BDI - Módulo 6)</t>
  </si>
  <si>
    <t>6.1</t>
  </si>
  <si>
    <t>Despesa Administrativa</t>
  </si>
  <si>
    <t>6.2</t>
  </si>
  <si>
    <t>Lucro</t>
  </si>
  <si>
    <t>,</t>
  </si>
  <si>
    <t>6.3</t>
  </si>
  <si>
    <t>Impostos Sobre o Faturamento</t>
  </si>
  <si>
    <t>6.3.1</t>
  </si>
  <si>
    <t>ISS</t>
  </si>
  <si>
    <t>6.3.2</t>
  </si>
  <si>
    <t>PIS</t>
  </si>
  <si>
    <t>6.3.3</t>
  </si>
  <si>
    <t>COFINS</t>
  </si>
  <si>
    <t>TOTAL MENSAL POR POSTO</t>
  </si>
  <si>
    <t>BDI</t>
  </si>
  <si>
    <t>ESTIMATIVA DO VALOR DA CONTRATAÇÃO DO SERVIÇO DE GARÇOM</t>
  </si>
  <si>
    <t>VALOR MENSAL POR POSTO</t>
  </si>
  <si>
    <t>VALOR MENSAL DE TODOS OS POSTOS</t>
  </si>
  <si>
    <t>VALOR ANUAL DE TODOS OS POSTOS</t>
  </si>
  <si>
    <t>RESUMO DOS PREÇOS DOS SERVIÇOS - COPEIRO</t>
  </si>
  <si>
    <t>Serviços Contínuos de Copeiragem</t>
  </si>
  <si>
    <t xml:space="preserve"> Custos Indiretos, Lucro e Tributos ( BDI - Módulo 6)</t>
  </si>
  <si>
    <t>ESTIMATIVA DO VALOR DA CONTRATAÇÃO DO SERVIÇO DE COPEIRO</t>
  </si>
  <si>
    <t xml:space="preserve">ESTIMATIVA GERAL DO VALOR DA CONTRATAÇÃO </t>
  </si>
  <si>
    <t>VALOR TOTAL ESTIMADO</t>
  </si>
  <si>
    <t>12 postos de garçom</t>
  </si>
  <si>
    <t>Mês</t>
  </si>
  <si>
    <t>04 postos de copeiro</t>
  </si>
  <si>
    <t>Materiais sob demanda</t>
  </si>
  <si>
    <t>Valor total estimado da contratação</t>
  </si>
  <si>
    <t xml:space="preserve">O presente orçamento foi elaborado tendo por base o regime de tributação pelo Lucro Real. </t>
  </si>
  <si>
    <t xml:space="preserve"> Na formulação de sua proposta, a licitante deverá ainda informar e observar: o regime de tributação ao qual está submetida, inclusive no tocante à incidência das alíquotas de ISS, PIS e COFINS sobre seu faturamento, de acordo com as Leis nºs 10.637/2002 e 10.833/2003, e demais legislação tributária aplicável ao caso concreto.</t>
  </si>
  <si>
    <t>Com fundamento no art. 16 da Lei nº 9.779/1999, art. 2º do Decreto nº 6.022/2007 e art. 4º IN RFB nº 1252/2012, as empresas optantes pelo Lucro Presumido ou Lucro Real deverão apresentar os recibos de Escrituração Fiscal Digital da Contribuição para o PIS/PASEP e para o Financiamento da Seguridade Social (COFINS) – EFD – Contribuições, relativos aos 12 (doze) meses correspondentes ao Balanço Patrimonial e demonstrações contábeis, de que trata o Capítulo XI do Edital, sendo que a receita bruta calculada a partir dos recibos, observado o disposto no art. 3º da Lei nº 9.718/1998 e no art. 12 do Decreto Lei nº 1.598/1977 , deverá guardar compatibilidade com as demonstrações apresentadas.</t>
  </si>
  <si>
    <t>As empresas sujeitas ao regime de tributação de incidência não cumulativa de PIS e Cofins deverão comprovar que as alíquotas dos referidos tributos adotados na taxa de BDI correspondem à média dos percentuais efetivos recolhidos em virtude do direito de compensação dos créditos previstos no art. 3º das Leis nºs 10.637/2002 e 10.833/2003, de forma a garantir que os preços contratados pela administração pública reflitam os benefícios tributários concedidos pela legislação tributária. A comprovação de que trata este item poderá ser feita pelo cálculo da média dessas contribuições dos últimos 12 (doze) meses disponíveis, mediante a apresentação dos recibos de entrega de escrituração fiscal digital (EFD / SPED), ou, pelo cálculo da média dos recibos de que trata o item anterior.</t>
  </si>
  <si>
    <t>No que tange à alíquota referente ao ISS favor observar ainda os seguintes dispositivos do Decreto Distrital nº 25.508/2005:  Art. 38, inciso II e Anexo I – código 17.05.</t>
  </si>
  <si>
    <t>Os serviços referentes a presente contratação são feitos mediante a cessão efetiva de mão de obra dos postos dos serviços de Garçom e Copeiro. Frise-se que, nos termos do art. 17, inciso XII da Lei Complementar nº 123/2006, essas atividades não permitem o recolhimento de impostos na forma do Simples Nacional. Dessa forma, caso a licitante seja optante pelo regime do Simples Nacional, essa deverá elaborar suas planilhas considerando outro regime de tributação, e, em caso de efetiva contratação, desenquadra-se, conforme previsto no item 9 do Anexo I deste Edital.</t>
  </si>
  <si>
    <r>
      <t xml:space="preserve">No preenchimento da proposta pela licitante, favor </t>
    </r>
    <r>
      <rPr>
        <b/>
        <u/>
        <sz val="12"/>
        <color theme="1"/>
        <rFont val="Arial"/>
      </rPr>
      <t>observar todo o conteúdo do presente edital e respectivos Anexos</t>
    </r>
    <r>
      <rPr>
        <sz val="12"/>
        <color theme="1"/>
        <rFont val="Arial"/>
      </rPr>
      <t>.</t>
    </r>
  </si>
  <si>
    <t>Pesquisa_Salarial  - Manutenção Predial</t>
  </si>
  <si>
    <t>Fonte:</t>
  </si>
  <si>
    <t>Câmara CT nº 125/2020</t>
  </si>
  <si>
    <t>PE nº 37/2021 - TCU</t>
  </si>
  <si>
    <t>PE nº 34/2021 - TST</t>
  </si>
  <si>
    <t>PCDF - Pregão 52/2020</t>
  </si>
  <si>
    <t>MCTIC - Pregão 07/2020</t>
  </si>
  <si>
    <t>PE nº 05/2021 - INCRA *</t>
  </si>
  <si>
    <t>Contrato nº 11/2020 - CNJ*</t>
  </si>
  <si>
    <t>PE nº 06/2021 - CJF</t>
  </si>
  <si>
    <t>Salários atualmente praticados no âmbito do CT TCDF 07/2017  e propostos para a  nova contratação</t>
  </si>
  <si>
    <t>Média</t>
  </si>
  <si>
    <t>DIF</t>
  </si>
  <si>
    <t>Encarregado Geral*</t>
  </si>
  <si>
    <t>Encarregado Setorial (CBO 7102-05)*</t>
  </si>
  <si>
    <t>Técnico_Telefonia e Rede (CBO 3133-15)*</t>
  </si>
  <si>
    <t>Técnico_Ar Condicionado (CBO 7257-05)*</t>
  </si>
  <si>
    <t>Comparativo do custo mensal de contratação por posto</t>
  </si>
  <si>
    <t>Tipo de Posto</t>
  </si>
  <si>
    <t>TCDF 
(estimado)</t>
  </si>
  <si>
    <t>PE nº 07/2020 - MCTI *</t>
  </si>
  <si>
    <t>PE nº 05/2021 - CNMP</t>
  </si>
  <si>
    <t>Proposta Ágil</t>
  </si>
  <si>
    <t>Proposta Atlântico</t>
  </si>
  <si>
    <t>Proposta Engepron</t>
  </si>
  <si>
    <t>Proposta DFL</t>
  </si>
  <si>
    <t xml:space="preserve">Média </t>
  </si>
  <si>
    <t>Mediana</t>
  </si>
  <si>
    <t>Menor entre Média e Mediana</t>
  </si>
  <si>
    <t>Diferença Verificada</t>
  </si>
  <si>
    <t>Média apenas Preços Públicos</t>
  </si>
  <si>
    <t>Dif. em rel. P. Públicos</t>
  </si>
  <si>
    <t>A elaboração do presente orçamento, conforme planilhas constantes do Termo de Referência, teve por base as orientações da Decisão TCDF nº 544/2010, tendo-se adotado como referência de preços  para alguns postos de serviço um valor ligeiramente acima ou abaixo do menor valor entre a média e a mediana dos preços pesquisados, por entender que tal montante é o que mais se aproxima do valor de mercado, considerando as especificações constantes do Termo de Referência. Frise-se que os valores orçados para a contratação irão cair após o processo licitatório, em razão de ajustes  ao valor proposto pelo licitante vencendor, em especial as rubricas relativas a uniformes, vale-transporte, RAT x FAP, custo de reposição do profissional ausente (módulo 4), despesas admistrativas, lucro e tributos (em especial casos de desoneração tributária). Parte das diferenças encontradas também se deve a existência de adicionais (insalubridade ou periculosidade) na composição do custo direto da mão de obra de alguns postos e não existência desses adicionais nos postos análogos nos contratos públicos utilizados para fins de comparação.</t>
  </si>
  <si>
    <t>Dados para fins de comparação com o valor orçado.</t>
  </si>
  <si>
    <t xml:space="preserve">* Valores unitários atualizados conforme o percentual de reajuste salarial constante da(s) Convenção(ões) Coletiva(s) de Trabalho 2021/2021, celebrada(s):  entre o Sindicato da Indústria da Construção Civil do Distrito Federal (SINDUSCON-DF) e o Sindicato dos Engenheiros no Distrito Federal (SENGE-DF), registrada no MTE em 17/06/2021; e o Sindicado da Indústria da Construção Civil do Distrito Federal (SINDUSCON/DF) e o Sindicato dos Trabalhadores nas Indústrias da Construção e do Mobiliário de Brasília (STICOMBE/DF), registrada no MTE em 14/05/2021. </t>
  </si>
  <si>
    <t>Peça nº  04</t>
  </si>
  <si>
    <t>Peça nº 07</t>
  </si>
  <si>
    <t>Peça nº 6</t>
  </si>
  <si>
    <t>Peça nº 5</t>
  </si>
  <si>
    <t>Peça nº 8</t>
  </si>
  <si>
    <t>Pesquisa salarial  - Supervisor, Garçom e Copeiro</t>
  </si>
  <si>
    <t>CT nº 07/2020 - Senado</t>
  </si>
  <si>
    <t>CT n° 66/2020 - STJ</t>
  </si>
  <si>
    <t>CT nº 37/2022 - CNJ</t>
  </si>
  <si>
    <t>CT nº 28/2020 - TST</t>
  </si>
  <si>
    <t>CT nº 110/2022 - TSE*</t>
  </si>
  <si>
    <t>Menor</t>
  </si>
  <si>
    <t>Adotado para a contratação - TCDF</t>
  </si>
  <si>
    <t>CCT2024</t>
  </si>
  <si>
    <t>Dif (CCT24)</t>
  </si>
  <si>
    <t>Supervisor</t>
  </si>
  <si>
    <t>Valores adotados de forma a reduzir a assimetria salarial entre os postos de copeiras e garçons</t>
  </si>
  <si>
    <t>Peça</t>
  </si>
  <si>
    <t>CT Senado 07/22*</t>
  </si>
  <si>
    <t>CT STJ 66/2020</t>
  </si>
  <si>
    <t>CT CNJ 37/2022*</t>
  </si>
  <si>
    <t>CT TST 28/20</t>
  </si>
  <si>
    <t>CT TSE 110/22*</t>
  </si>
  <si>
    <t>Produtiva</t>
  </si>
  <si>
    <t>Grupo ágil</t>
  </si>
  <si>
    <t>A elaboração do presente orçamento, conforme planilhas constantes do Termo de Referência, teve por base as orientações da Decisão TCDF nº 544/2010, tendo-se adotado como referência de preços  para alguns postos de serviço um valor ligeiramente acima do menor valor entre a média e a mediana dos preços pesquisados, por entender que tal montante é o que mais se aproxima do valor de mercado, considerando as especificações constantes do Termo de Referência. Frise-se que os valores orçados para a contratação irão cair após o processo licitatório, em razão de ajustes  ao valor proposto pelo licitante vencendor, em especial as rubricas relativas a uniformes, vale-transporte, RAT x FAP, custo de reposição do profissional ausente (módulo 4), despesas admistrativas, lucro e tributos.</t>
  </si>
  <si>
    <t xml:space="preserve">* Valores unitários atualizados conforme o percentual de reajuste salarial constante da Convenção Coletiva de Trabalho 2024/2024 da respectiva categoria. </t>
  </si>
  <si>
    <t xml:space="preserve">* * Valores unitários atualizados conforme o percentual de reajuste salarial constante da Convenção Coletiva de Trabalho 2023/2023 da respectiva categoria. </t>
  </si>
  <si>
    <t>Valores unitários atualizados conforme último aditivo de 13/01/2023 - valor se encontra acima da conveção coletiva, mas ainda não foi reajustado pela CCT2024</t>
  </si>
  <si>
    <t>Valores unitários atualizados conforme quinto termo de apostilamento de 05/04/2024 - atualizado com a CCT 2024</t>
  </si>
  <si>
    <t>Valores unitários atualizados conforme sexto termo de apostilamento de 05/04/2024 - atualizado com a CCT 2024 - Salário desde o ínicio do contrato é superior ao da CCT 2024</t>
  </si>
  <si>
    <t>Valores unitários atualizados conforme primeiro termo de apostilamento de 21/12/2023 - atualizado com a CCT 2023 - Salário desde o ínicio do contrato é superior ao da CCT 2024 - possui posto de encarregado ao invés de supervisor</t>
  </si>
  <si>
    <t>Dados retirados do Recibo
EFD - Contribuições</t>
  </si>
  <si>
    <t>Contribuição Social</t>
  </si>
  <si>
    <t>Tipo de Incidência</t>
  </si>
  <si>
    <t>Efetua-se cálculo Reverso para encontrar o Faturamento</t>
  </si>
  <si>
    <t>Faturamento - PIS</t>
  </si>
  <si>
    <t>Faturamento Mensal
A</t>
  </si>
  <si>
    <t>Contribuição Apurada
B = A x 1,65% ou 
B = A x 0,65%</t>
  </si>
  <si>
    <t>Fat - COFINS</t>
  </si>
  <si>
    <t>Não Cumulativa</t>
  </si>
  <si>
    <t>PIS = FAT*1,65%</t>
  </si>
  <si>
    <t>FAT(A) = PIS (B)/1,65%</t>
  </si>
  <si>
    <t>COFINS = FAT*7,60%</t>
  </si>
  <si>
    <t>FAT(A) = COFINS (B)/7,60%</t>
  </si>
  <si>
    <t>Cumulativa</t>
  </si>
  <si>
    <t>PIS = FAT * 0,65%</t>
  </si>
  <si>
    <t>FAT(A) = PIS (B) / 0,65%</t>
  </si>
  <si>
    <t>COFINS = FAT*3,0%</t>
  </si>
  <si>
    <t>FAT (A) = COFINS (B)/3,0%</t>
  </si>
  <si>
    <t>Total (*)</t>
  </si>
  <si>
    <t>Fundamento do Mecanismo</t>
  </si>
  <si>
    <t xml:space="preserve">item </t>
  </si>
  <si>
    <t>9.3.2.4</t>
  </si>
  <si>
    <t>ac tcu 2622/2013</t>
  </si>
  <si>
    <t>p.76</t>
  </si>
  <si>
    <t>Faturamento - COFINS</t>
  </si>
  <si>
    <t>Maior Valor Apurado para Faturamento</t>
  </si>
  <si>
    <t>Faturamento DRE</t>
  </si>
  <si>
    <t>Limite Inferior de Variação</t>
  </si>
  <si>
    <t>Limite Superior de Variação</t>
  </si>
  <si>
    <t>VERFICAÇÃO RELATIVA AO CAPÍTULO XIV e ANEXO IX</t>
  </si>
  <si>
    <t>VERIFICAR ÍNDICES CONTÁBEIS</t>
  </si>
  <si>
    <t>PL da Empresa é Superior a 10% VEC</t>
  </si>
  <si>
    <t>Valor estimado Contratação (VEC)</t>
  </si>
  <si>
    <t>Conferência relação de compromissos</t>
  </si>
  <si>
    <t>Valor Mensal dos Contratos</t>
  </si>
  <si>
    <t>Valor do Patrimônio Líquido</t>
  </si>
  <si>
    <t>Receita Operacional Bruta</t>
  </si>
  <si>
    <t>Checks Visuais</t>
  </si>
  <si>
    <t>inciso XI do item 14.3</t>
  </si>
  <si>
    <t>item 14.7</t>
  </si>
  <si>
    <t>Crédito Descontado
C</t>
  </si>
  <si>
    <t>Retenções 
D</t>
  </si>
  <si>
    <t>Contribuição a Recolher
E = B - C -D</t>
  </si>
  <si>
    <t>Outras Deduções
(***)
F</t>
  </si>
  <si>
    <t>PIS - Efet. Devido
G = B - C- F</t>
  </si>
  <si>
    <t>Percentual Efetivo
H = G/A</t>
  </si>
  <si>
    <t>Contribuição Apurada
B = A x 7,60% ou
B = A x 3,00%</t>
  </si>
  <si>
    <t>Retenções
D</t>
  </si>
  <si>
    <t>COFINS - Efet. Devida
G = B - C - F</t>
  </si>
  <si>
    <t>Percentual
Efetivo
H = G / A</t>
  </si>
  <si>
    <t>Média Encontrada para o PIS (**)</t>
  </si>
  <si>
    <t>Média Encontrada para a COFINS (**)</t>
  </si>
  <si>
    <t>(*)</t>
  </si>
  <si>
    <t xml:space="preserve">Cálculo Obrigatório para as empresas tributadas pelo Lucro Presumido ou Lucro Real </t>
  </si>
  <si>
    <t>(**)</t>
  </si>
  <si>
    <t>Cálculo Obrigatório para as empresas submetidas à incidência não cumulativa de PIS e COFINS</t>
  </si>
  <si>
    <t>(***)</t>
  </si>
  <si>
    <t>Caso a licitante deseje contemplar em seus cálculos a coluna de outras deduções, essa deverá apresentar além dos recibos do EFD - Contribuições,  o relatório de "Consolidação da Contribuição para o PIS e COFINS",  emitido pelo EFD-Contribuições, para o mês de competência da dedução.</t>
  </si>
  <si>
    <t>Cálculo do Valor Mensal a ser glosado da fatura e destinado à conta Vinculada</t>
  </si>
  <si>
    <t>Salário Bruto</t>
  </si>
  <si>
    <t>Percentual total a ser destinado à conta vinculada, conforme Decreto Distrital nº 34.649/2013, com redação dada pelo Decreto Distrital nº 36.164/2014 (Anexo).</t>
  </si>
  <si>
    <t>13º salário</t>
  </si>
  <si>
    <t>Férias</t>
  </si>
  <si>
    <t>FGTS</t>
  </si>
  <si>
    <t>Encargos s/ férias e 13º salário</t>
  </si>
  <si>
    <t>Total a ser glosado para 1 (um) profissional</t>
  </si>
  <si>
    <t>Nº de Funcionários contratados</t>
  </si>
  <si>
    <t xml:space="preserve">Valor Mensal por tipo de posto a ser glosado da fatura e destinado à conta vinculada da empresa </t>
  </si>
  <si>
    <t>Valor Mensal a ser destinado à Conta Vinculada da Empresa (Garçom+Copeiro)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</si>
</sst>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R$&quot;\ #,##0.00;[Red]\-&quot;R$&quot;\ #,##0.00"/>
    <numFmt numFmtId="44" formatCode="_-&quot;R$&quot;\ * #,##0.00_-;\-&quot;R$&quot;\ * #,##0.00_-;_-&quot;R$&quot;\ * &quot;-&quot;??_-;_-@_-"/>
    <numFmt numFmtId="43" formatCode="_-* #,##0.00_-;\-* #,##0.00_-;_-* &quot;-&quot;??_-;_-@_-"/>
    <numFmt numFmtId="164" formatCode="_-&quot;R$&quot;* #,##0.00_-;\-&quot;R$&quot;* #,##0.00_-;_-&quot;R$&quot;* &quot;-&quot;??_-;_-@_-"/>
    <numFmt numFmtId="165" formatCode="_(* #,##0.00_);_(* \(#,##0.00\);_(* &quot;-&quot;??_);_(@_)"/>
    <numFmt numFmtId="166" formatCode="_(&quot;R$&quot;* #,##0.00_);_(&quot;R$&quot;* \(#,##0.00\);_(&quot;R$&quot;* &quot;-&quot;??_);_(@_)"/>
    <numFmt numFmtId="167" formatCode="_(&quot;R$ &quot;* #,##0.00_);_(&quot;R$ &quot;* \(#,##0.00\);_(&quot;R$ &quot;* &quot;-&quot;??_);_(@_)"/>
    <numFmt numFmtId="168" formatCode="dd/mm/yy;@"/>
    <numFmt numFmtId="169" formatCode="[$-416]mmmm\-yy;@"/>
    <numFmt numFmtId="170" formatCode="&quot;R$&quot;\ #,##0.00"/>
    <numFmt numFmtId="171" formatCode="0.0000%"/>
    <numFmt numFmtId="172" formatCode="0.000%"/>
    <numFmt numFmtId="173" formatCode="0.0000"/>
    <numFmt numFmtId="174" formatCode="_-[$R$-416]\ * #,##0.00_-;\-[$R$-416]\ * #,##0.00_-;_-[$R$-416]\ * &quot;-&quot;??_-;_-@_-"/>
  </numFmts>
  <fonts count="78">
    <font>
      <sz val="10"/>
      <name val="Arial"/>
      <charset val="134"/>
    </font>
    <font>
      <sz val="11"/>
      <color theme="1"/>
      <name val="Calibri"/>
      <family val="2"/>
      <scheme val="minor"/>
    </font>
    <font>
      <sz val="11"/>
      <color theme="1"/>
      <name val="Calibri"/>
      <family val="2"/>
      <scheme val="minor"/>
    </font>
    <font>
      <sz val="11"/>
      <color theme="1"/>
      <name val="Calibri"/>
      <family val="2"/>
      <scheme val="minor"/>
    </font>
    <font>
      <sz val="14"/>
      <color theme="1"/>
      <name val="Arial Narrow"/>
      <family val="2"/>
    </font>
    <font>
      <b/>
      <sz val="14"/>
      <color theme="1"/>
      <name val="Arial Narrow"/>
      <family val="2"/>
    </font>
    <font>
      <b/>
      <sz val="12"/>
      <color theme="1"/>
      <name val="Arial Narrow"/>
      <family val="2"/>
    </font>
    <font>
      <b/>
      <i/>
      <u/>
      <sz val="14"/>
      <color theme="1"/>
      <name val="Arial Narrow"/>
      <family val="2"/>
    </font>
    <font>
      <b/>
      <sz val="14"/>
      <color rgb="FFFF0000"/>
      <name val="Arial Narrow"/>
      <family val="2"/>
    </font>
    <font>
      <b/>
      <sz val="14"/>
      <name val="Arial Narrow"/>
      <family val="2"/>
    </font>
    <font>
      <b/>
      <sz val="16"/>
      <name val="Arial Narrow"/>
      <family val="2"/>
    </font>
    <font>
      <b/>
      <sz val="10"/>
      <name val="Arial Narrow"/>
      <family val="2"/>
    </font>
    <font>
      <sz val="14"/>
      <name val="Arial"/>
      <family val="2"/>
    </font>
    <font>
      <i/>
      <sz val="16"/>
      <name val="Arial Narrow"/>
      <family val="2"/>
    </font>
    <font>
      <sz val="16"/>
      <name val="Arial Narrow"/>
      <family val="2"/>
    </font>
    <font>
      <b/>
      <sz val="18"/>
      <color theme="1"/>
      <name val="Arial Narrow"/>
      <family val="2"/>
    </font>
    <font>
      <sz val="18"/>
      <color theme="1"/>
      <name val="Arial Narrow"/>
      <family val="2"/>
    </font>
    <font>
      <b/>
      <sz val="14"/>
      <name val="Arial"/>
      <family val="2"/>
    </font>
    <font>
      <sz val="14"/>
      <color rgb="FF7030A0"/>
      <name val="Arial Narrow"/>
      <family val="2"/>
    </font>
    <font>
      <sz val="14"/>
      <name val="Arial Narrow"/>
      <family val="2"/>
    </font>
    <font>
      <sz val="14"/>
      <color theme="0"/>
      <name val="Arial Narrow"/>
      <family val="2"/>
    </font>
    <font>
      <sz val="11"/>
      <name val="Arial"/>
      <family val="2"/>
    </font>
    <font>
      <sz val="12"/>
      <name val="Arial Narrow"/>
      <family val="2"/>
    </font>
    <font>
      <b/>
      <sz val="12"/>
      <name val="Arial Narrow"/>
      <family val="2"/>
    </font>
    <font>
      <sz val="10"/>
      <name val="Arial"/>
      <family val="2"/>
    </font>
    <font>
      <sz val="14"/>
      <color theme="1"/>
      <name val="Arial"/>
      <family val="2"/>
    </font>
    <font>
      <sz val="11"/>
      <color theme="1"/>
      <name val="Arial Unicode MS"/>
      <family val="2"/>
    </font>
    <font>
      <sz val="11"/>
      <color theme="1"/>
      <name val="Calibri"/>
      <family val="2"/>
      <scheme val="minor"/>
    </font>
    <font>
      <sz val="20"/>
      <color theme="1"/>
      <name val="Arial Narrow"/>
      <family val="2"/>
    </font>
    <font>
      <b/>
      <sz val="20"/>
      <color theme="1"/>
      <name val="Arial Narrow"/>
      <family val="2"/>
    </font>
    <font>
      <sz val="10"/>
      <color theme="1"/>
      <name val="Arial Unicode MS"/>
      <family val="2"/>
    </font>
    <font>
      <sz val="18"/>
      <name val="Arial Narrow"/>
      <family val="2"/>
    </font>
    <font>
      <b/>
      <sz val="10"/>
      <name val="Arial"/>
      <family val="2"/>
    </font>
    <font>
      <sz val="12"/>
      <color theme="1"/>
      <name val="Arial Narrow"/>
      <family val="2"/>
    </font>
    <font>
      <sz val="11"/>
      <color rgb="FF000000"/>
      <name val="Calibri"/>
      <family val="2"/>
    </font>
    <font>
      <sz val="13"/>
      <color rgb="FF000000"/>
      <name val="Arial Narrow"/>
      <family val="2"/>
    </font>
    <font>
      <b/>
      <sz val="14"/>
      <color rgb="FF000000"/>
      <name val="Arial Narrow"/>
      <family val="2"/>
    </font>
    <font>
      <b/>
      <sz val="18"/>
      <name val="Arial Narrow"/>
      <family val="2"/>
    </font>
    <font>
      <b/>
      <i/>
      <sz val="18"/>
      <name val="Arial Narrow"/>
      <family val="2"/>
    </font>
    <font>
      <i/>
      <sz val="14"/>
      <name val="Arial Narrow"/>
      <family val="2"/>
    </font>
    <font>
      <sz val="18"/>
      <color rgb="FFFF0000"/>
      <name val="Arial Narrow"/>
      <family val="2"/>
    </font>
    <font>
      <i/>
      <sz val="14"/>
      <color rgb="FFFF0000"/>
      <name val="Arial Narrow"/>
      <family val="2"/>
    </font>
    <font>
      <sz val="8"/>
      <name val="Arial"/>
      <family val="2"/>
    </font>
    <font>
      <sz val="14"/>
      <color rgb="FFFF0000"/>
      <name val="Arial"/>
      <family val="2"/>
    </font>
    <font>
      <sz val="12"/>
      <color rgb="FF7030A0"/>
      <name val="Arial Narrow"/>
      <family val="2"/>
    </font>
    <font>
      <i/>
      <sz val="12"/>
      <name val="Arial Narrow"/>
      <family val="2"/>
    </font>
    <font>
      <i/>
      <sz val="12"/>
      <name val="Aptos Narrow"/>
      <family val="2"/>
    </font>
    <font>
      <sz val="14"/>
      <color rgb="FFFF0000"/>
      <name val="Arial Narrow"/>
      <family val="2"/>
    </font>
    <font>
      <sz val="12"/>
      <name val="Times New Roman"/>
      <family val="1"/>
    </font>
    <font>
      <b/>
      <sz val="9"/>
      <name val="Segoe UI"/>
      <family val="2"/>
    </font>
    <font>
      <sz val="9"/>
      <name val="Segoe UI"/>
      <family val="2"/>
    </font>
    <font>
      <sz val="10"/>
      <name val="Calibri"/>
      <family val="2"/>
      <scheme val="minor"/>
    </font>
    <font>
      <sz val="11"/>
      <color rgb="FFFF0000"/>
      <name val="Calibri"/>
      <family val="2"/>
      <scheme val="minor"/>
    </font>
    <font>
      <sz val="9"/>
      <color indexed="81"/>
      <name val="Segoe UI"/>
      <family val="2"/>
    </font>
    <font>
      <b/>
      <sz val="9"/>
      <color indexed="81"/>
      <name val="Segoe UI"/>
      <family val="2"/>
    </font>
    <font>
      <sz val="14"/>
      <color rgb="FF0070C0"/>
      <name val="Arial Narrow"/>
      <family val="2"/>
    </font>
    <font>
      <sz val="10"/>
      <name val="Arial"/>
      <family val="2"/>
      <charset val="1"/>
    </font>
    <font>
      <sz val="14"/>
      <color theme="4"/>
      <name val="Arial Narrow"/>
      <family val="2"/>
    </font>
    <font>
      <sz val="12"/>
      <name val="Aptos Narrow"/>
      <family val="2"/>
    </font>
    <font>
      <sz val="12"/>
      <name val="Arial"/>
    </font>
    <font>
      <sz val="12"/>
      <color theme="1"/>
      <name val="Arial"/>
    </font>
    <font>
      <b/>
      <sz val="14"/>
      <color theme="1"/>
      <name val="Arial"/>
    </font>
    <font>
      <b/>
      <sz val="12"/>
      <color theme="1"/>
      <name val="Arial"/>
    </font>
    <font>
      <b/>
      <sz val="12"/>
      <name val="Arial"/>
    </font>
    <font>
      <b/>
      <sz val="12"/>
      <color rgb="FF000000"/>
      <name val="Arial"/>
    </font>
    <font>
      <sz val="12"/>
      <color rgb="FF000000"/>
      <name val="Arial"/>
    </font>
    <font>
      <sz val="14"/>
      <color theme="1"/>
      <name val="Arial"/>
    </font>
    <font>
      <sz val="10"/>
      <color theme="1"/>
      <name val="Arial"/>
    </font>
    <font>
      <b/>
      <sz val="10"/>
      <color theme="1"/>
      <name val="Arial"/>
    </font>
    <font>
      <b/>
      <u/>
      <sz val="14"/>
      <color theme="1"/>
      <name val="Arial"/>
    </font>
    <font>
      <u/>
      <sz val="14"/>
      <color theme="1"/>
      <name val="Arial"/>
    </font>
    <font>
      <sz val="12"/>
      <color rgb="FF7030A0"/>
      <name val="Arial"/>
    </font>
    <font>
      <sz val="12"/>
      <color rgb="FFFF0000"/>
      <name val="Arial"/>
    </font>
    <font>
      <i/>
      <sz val="12"/>
      <name val="Arial"/>
    </font>
    <font>
      <b/>
      <i/>
      <sz val="12"/>
      <color theme="1"/>
      <name val="Arial"/>
    </font>
    <font>
      <i/>
      <sz val="12"/>
      <color theme="1"/>
      <name val="Arial"/>
    </font>
    <font>
      <b/>
      <u/>
      <sz val="12"/>
      <color theme="1"/>
      <name val="Arial"/>
    </font>
    <font>
      <i/>
      <u/>
      <sz val="12"/>
      <color theme="1"/>
      <name val="Arial"/>
    </font>
  </fonts>
  <fills count="42">
    <fill>
      <patternFill patternType="none"/>
    </fill>
    <fill>
      <patternFill patternType="gray125"/>
    </fill>
    <fill>
      <patternFill patternType="solid">
        <fgColor theme="0" tint="-0.34998626667073579"/>
        <bgColor indexed="64"/>
      </patternFill>
    </fill>
    <fill>
      <patternFill patternType="solid">
        <fgColor theme="9" tint="0.59999389629810485"/>
        <bgColor indexed="64"/>
      </patternFill>
    </fill>
    <fill>
      <patternFill patternType="solid">
        <fgColor theme="9" tint="0.79992065187536243"/>
        <bgColor indexed="64"/>
      </patternFill>
    </fill>
    <fill>
      <patternFill patternType="solid">
        <fgColor theme="5" tint="0.79992065187536243"/>
        <bgColor indexed="64"/>
      </patternFill>
    </fill>
    <fill>
      <patternFill patternType="solid">
        <fgColor theme="7" tint="0.79992065187536243"/>
        <bgColor indexed="64"/>
      </patternFill>
    </fill>
    <fill>
      <patternFill patternType="solid">
        <fgColor theme="0" tint="-0.14993743705557422"/>
        <bgColor indexed="64"/>
      </patternFill>
    </fill>
    <fill>
      <patternFill patternType="solid">
        <fgColor theme="7"/>
        <bgColor indexed="64"/>
      </patternFill>
    </fill>
    <fill>
      <patternFill patternType="solid">
        <fgColor theme="9"/>
        <bgColor indexed="64"/>
      </patternFill>
    </fill>
    <fill>
      <patternFill patternType="solid">
        <fgColor theme="5"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theme="4" tint="0.79992065187536243"/>
        <bgColor indexed="64"/>
      </patternFill>
    </fill>
    <fill>
      <patternFill patternType="solid">
        <fgColor rgb="FF00B0F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FF"/>
        <bgColor indexed="64"/>
      </patternFill>
    </fill>
    <fill>
      <patternFill patternType="solid">
        <fgColor theme="0"/>
        <bgColor indexed="64"/>
      </patternFill>
    </fill>
    <fill>
      <patternFill patternType="solid">
        <fgColor theme="6" tint="0.79992065187536243"/>
        <bgColor indexed="64"/>
      </patternFill>
    </fill>
    <fill>
      <patternFill patternType="solid">
        <fgColor rgb="FFFFFF99"/>
        <bgColor indexed="64"/>
      </patternFill>
    </fill>
    <fill>
      <patternFill patternType="solid">
        <fgColor rgb="FFD9D9D9"/>
        <bgColor indexed="64"/>
      </patternFill>
    </fill>
    <fill>
      <patternFill patternType="solid">
        <fgColor theme="8" tint="0.79992065187536243"/>
        <bgColor indexed="64"/>
      </patternFill>
    </fill>
    <fill>
      <patternFill patternType="solid">
        <fgColor rgb="FFFFFF00"/>
        <bgColor indexed="64"/>
      </patternFill>
    </fill>
    <fill>
      <patternFill patternType="solid">
        <fgColor theme="8" tint="0.39991454817346722"/>
        <bgColor indexed="64"/>
      </patternFill>
    </fill>
    <fill>
      <patternFill patternType="solid">
        <fgColor theme="7" tint="0.59999389629810485"/>
        <bgColor indexed="64"/>
      </patternFill>
    </fill>
    <fill>
      <patternFill patternType="solid">
        <fgColor theme="7" tint="0.39991454817346722"/>
        <bgColor indexed="64"/>
      </patternFill>
    </fill>
    <fill>
      <patternFill patternType="solid">
        <fgColor theme="8" tint="0.59999389629810485"/>
        <bgColor indexed="64"/>
      </patternFill>
    </fill>
    <fill>
      <patternFill patternType="solid">
        <fgColor theme="6" tint="0.59999389629810485"/>
        <bgColor indexed="64"/>
      </patternFill>
    </fill>
    <fill>
      <patternFill patternType="gray125">
        <bgColor theme="0"/>
      </patternFill>
    </fill>
    <fill>
      <patternFill patternType="solid">
        <fgColor indexed="65"/>
        <bgColor indexed="64"/>
      </patternFill>
    </fill>
    <fill>
      <patternFill patternType="lightGray"/>
    </fill>
    <fill>
      <patternFill patternType="solid">
        <fgColor theme="0" tint="-4.9989318521683403E-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CCFFFF"/>
        <bgColor indexed="64"/>
      </patternFill>
    </fill>
  </fills>
  <borders count="7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mediumDashed">
        <color auto="1"/>
      </left>
      <right style="thin">
        <color auto="1"/>
      </right>
      <top style="mediumDashed">
        <color auto="1"/>
      </top>
      <bottom style="thin">
        <color auto="1"/>
      </bottom>
      <diagonal/>
    </border>
    <border>
      <left style="thin">
        <color auto="1"/>
      </left>
      <right style="thin">
        <color auto="1"/>
      </right>
      <top style="mediumDashed">
        <color auto="1"/>
      </top>
      <bottom style="thin">
        <color auto="1"/>
      </bottom>
      <diagonal/>
    </border>
    <border>
      <left style="thin">
        <color auto="1"/>
      </left>
      <right/>
      <top style="mediumDashed">
        <color auto="1"/>
      </top>
      <bottom style="thin">
        <color auto="1"/>
      </bottom>
      <diagonal/>
    </border>
    <border>
      <left style="mediumDashed">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Dashed">
        <color auto="1"/>
      </left>
      <right style="thin">
        <color auto="1"/>
      </right>
      <top/>
      <bottom style="thin">
        <color auto="1"/>
      </bottom>
      <diagonal/>
    </border>
    <border>
      <left style="thin">
        <color auto="1"/>
      </left>
      <right style="thin">
        <color auto="1"/>
      </right>
      <top/>
      <bottom style="thin">
        <color auto="1"/>
      </bottom>
      <diagonal/>
    </border>
    <border>
      <left style="mediumDashed">
        <color auto="1"/>
      </left>
      <right style="thin">
        <color auto="1"/>
      </right>
      <top style="thin">
        <color auto="1"/>
      </top>
      <bottom style="thin">
        <color auto="1"/>
      </bottom>
      <diagonal/>
    </border>
    <border>
      <left/>
      <right/>
      <top style="thin">
        <color auto="1"/>
      </top>
      <bottom/>
      <diagonal/>
    </border>
    <border>
      <left style="mediumDashed">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Dashed">
        <color auto="1"/>
      </left>
      <right style="thin">
        <color auto="1"/>
      </right>
      <top style="medium">
        <color auto="1"/>
      </top>
      <bottom style="mediumDashed">
        <color auto="1"/>
      </bottom>
      <diagonal/>
    </border>
    <border>
      <left style="thin">
        <color auto="1"/>
      </left>
      <right style="thin">
        <color auto="1"/>
      </right>
      <top style="medium">
        <color auto="1"/>
      </top>
      <bottom style="mediumDashed">
        <color auto="1"/>
      </bottom>
      <diagonal/>
    </border>
    <border>
      <left style="thin">
        <color auto="1"/>
      </left>
      <right style="medium">
        <color auto="1"/>
      </right>
      <top style="medium">
        <color auto="1"/>
      </top>
      <bottom style="mediumDashed">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double">
        <color auto="1"/>
      </left>
      <right style="double">
        <color auto="1"/>
      </right>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mediumDashed">
        <color auto="1"/>
      </right>
      <top style="mediumDashed">
        <color auto="1"/>
      </top>
      <bottom style="thin">
        <color auto="1"/>
      </bottom>
      <diagonal/>
    </border>
    <border>
      <left style="thin">
        <color auto="1"/>
      </left>
      <right style="mediumDashed">
        <color auto="1"/>
      </right>
      <top style="thin">
        <color auto="1"/>
      </top>
      <bottom style="thin">
        <color auto="1"/>
      </bottom>
      <diagonal/>
    </border>
    <border>
      <left style="medium">
        <color auto="1"/>
      </left>
      <right style="mediumDashed">
        <color auto="1"/>
      </right>
      <top style="thin">
        <color auto="1"/>
      </top>
      <bottom style="mediumDashed">
        <color auto="1"/>
      </bottom>
      <diagonal/>
    </border>
    <border>
      <left style="thin">
        <color auto="1"/>
      </left>
      <right style="mediumDashed">
        <color auto="1"/>
      </right>
      <top style="mediumDashed">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medium">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dashed">
        <color auto="1"/>
      </left>
      <right/>
      <top style="dashed">
        <color auto="1"/>
      </top>
      <bottom style="thin">
        <color auto="1"/>
      </bottom>
      <diagonal/>
    </border>
    <border>
      <left/>
      <right/>
      <top style="dashed">
        <color auto="1"/>
      </top>
      <bottom style="thin">
        <color auto="1"/>
      </bottom>
      <diagonal/>
    </border>
    <border>
      <left/>
      <right style="dashed">
        <color auto="1"/>
      </right>
      <top style="dashed">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
      <left style="thin">
        <color rgb="FF000000"/>
      </left>
      <right style="thin">
        <color rgb="FF000000"/>
      </right>
      <top/>
      <bottom/>
      <diagonal/>
    </border>
    <border>
      <left/>
      <right/>
      <top/>
      <bottom style="thin">
        <color rgb="FF000000"/>
      </bottom>
      <diagonal/>
    </border>
  </borders>
  <cellStyleXfs count="96">
    <xf numFmtId="0" fontId="0" fillId="0" borderId="0"/>
    <xf numFmtId="44" fontId="24" fillId="0" borderId="0" applyFont="0" applyFill="0" applyBorder="0" applyAlignment="0" applyProtection="0"/>
    <xf numFmtId="44" fontId="27" fillId="0" borderId="0" applyFont="0" applyFill="0" applyBorder="0" applyAlignment="0" applyProtection="0"/>
    <xf numFmtId="166" fontId="24" fillId="0" borderId="0" applyFont="0" applyFill="0" applyBorder="0" applyAlignment="0" applyProtection="0"/>
    <xf numFmtId="167" fontId="48" fillId="0" borderId="0" applyFont="0" applyFill="0" applyBorder="0" applyAlignment="0" applyProtection="0"/>
    <xf numFmtId="167" fontId="48" fillId="0" borderId="0" applyFont="0" applyFill="0" applyBorder="0" applyAlignment="0" applyProtection="0"/>
    <xf numFmtId="167" fontId="27" fillId="0" borderId="0" applyFont="0" applyFill="0" applyBorder="0" applyAlignment="0" applyProtection="0"/>
    <xf numFmtId="44" fontId="24"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4"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0" fontId="27" fillId="0" borderId="0"/>
    <xf numFmtId="0" fontId="27" fillId="0" borderId="0"/>
    <xf numFmtId="0" fontId="27" fillId="0" borderId="0"/>
    <xf numFmtId="0" fontId="27"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4" fillId="0" borderId="0"/>
    <xf numFmtId="0" fontId="27" fillId="0" borderId="0"/>
    <xf numFmtId="0" fontId="27" fillId="0" borderId="0"/>
    <xf numFmtId="0" fontId="27" fillId="0" borderId="0"/>
    <xf numFmtId="0" fontId="27" fillId="0" borderId="0"/>
    <xf numFmtId="0" fontId="27"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7" fillId="0" borderId="0"/>
    <xf numFmtId="0" fontId="27"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vertical="center"/>
    </xf>
    <xf numFmtId="0" fontId="27" fillId="0" borderId="0"/>
    <xf numFmtId="0" fontId="27" fillId="0" borderId="0"/>
    <xf numFmtId="0" fontId="27" fillId="0" borderId="0"/>
    <xf numFmtId="0" fontId="42" fillId="0" borderId="0">
      <alignment vertical="center"/>
    </xf>
    <xf numFmtId="9" fontId="24" fillId="0" borderId="0" applyFill="0" applyBorder="0" applyAlignment="0" applyProtection="0"/>
    <xf numFmtId="9" fontId="48" fillId="0" borderId="0" applyFont="0" applyFill="0" applyBorder="0" applyAlignment="0" applyProtection="0"/>
    <xf numFmtId="9" fontId="24" fillId="0" borderId="0" applyFont="0" applyFill="0" applyBorder="0" applyAlignment="0" applyProtection="0"/>
    <xf numFmtId="9" fontId="48" fillId="0" borderId="0" applyFon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165" fontId="4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7"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4"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3" fillId="0" borderId="0"/>
    <xf numFmtId="44" fontId="3" fillId="0" borderId="0" applyFont="0" applyFill="0" applyBorder="0" applyAlignment="0" applyProtection="0"/>
    <xf numFmtId="0" fontId="24" fillId="0" borderId="0"/>
    <xf numFmtId="0" fontId="2" fillId="0" borderId="0"/>
    <xf numFmtId="44" fontId="2" fillId="0" borderId="0" applyFont="0" applyFill="0" applyBorder="0" applyAlignment="0" applyProtection="0"/>
    <xf numFmtId="0" fontId="1" fillId="0" borderId="0"/>
    <xf numFmtId="0" fontId="1" fillId="0" borderId="0"/>
    <xf numFmtId="0" fontId="1" fillId="0" borderId="0"/>
    <xf numFmtId="0" fontId="1" fillId="0" borderId="0"/>
    <xf numFmtId="0" fontId="56" fillId="0" borderId="0"/>
  </cellStyleXfs>
  <cellXfs count="1088">
    <xf numFmtId="0" fontId="0" fillId="0" borderId="0" xfId="0"/>
    <xf numFmtId="0" fontId="4" fillId="0" borderId="0" xfId="52" applyFont="1" applyAlignment="1">
      <alignment horizontal="center" vertical="center"/>
    </xf>
    <xf numFmtId="0" fontId="4" fillId="0" borderId="0" xfId="52" applyFont="1"/>
    <xf numFmtId="44" fontId="4" fillId="0" borderId="0" xfId="52" applyNumberFormat="1" applyFont="1"/>
    <xf numFmtId="168" fontId="4" fillId="0" borderId="0" xfId="52" applyNumberFormat="1" applyFont="1" applyAlignment="1">
      <alignment horizontal="center" vertical="center"/>
    </xf>
    <xf numFmtId="44" fontId="4" fillId="0" borderId="0" xfId="52" applyNumberFormat="1" applyFont="1" applyAlignment="1">
      <alignment horizontal="center" vertical="center"/>
    </xf>
    <xf numFmtId="10" fontId="4" fillId="0" borderId="0" xfId="52" applyNumberFormat="1" applyFont="1" applyAlignment="1">
      <alignment horizontal="center" vertical="center"/>
    </xf>
    <xf numFmtId="0" fontId="5" fillId="0" borderId="1" xfId="52" applyFont="1" applyBorder="1"/>
    <xf numFmtId="44" fontId="6" fillId="0" borderId="3" xfId="52" applyNumberFormat="1" applyFont="1" applyBorder="1" applyAlignment="1">
      <alignment horizontal="center" vertical="center" wrapText="1"/>
    </xf>
    <xf numFmtId="0" fontId="4" fillId="0" borderId="9" xfId="52" applyFont="1" applyBorder="1" applyAlignment="1">
      <alignment horizontal="center" vertical="center"/>
    </xf>
    <xf numFmtId="0" fontId="5" fillId="0" borderId="2" xfId="52" applyFont="1" applyBorder="1" applyAlignment="1">
      <alignment horizontal="center" vertical="center" wrapText="1"/>
    </xf>
    <xf numFmtId="44" fontId="7" fillId="0" borderId="3" xfId="52" applyNumberFormat="1" applyFont="1" applyBorder="1" applyAlignment="1">
      <alignment horizontal="center" vertical="center" wrapText="1"/>
    </xf>
    <xf numFmtId="44" fontId="5" fillId="4" borderId="2" xfId="52" applyNumberFormat="1" applyFont="1" applyFill="1" applyBorder="1" applyAlignment="1">
      <alignment horizontal="center" vertical="center" wrapText="1"/>
    </xf>
    <xf numFmtId="0" fontId="4" fillId="0" borderId="2" xfId="52" applyFont="1" applyBorder="1" applyAlignment="1">
      <alignment horizontal="center" vertical="center"/>
    </xf>
    <xf numFmtId="0" fontId="4" fillId="0" borderId="12" xfId="52" applyFont="1" applyBorder="1" applyAlignment="1">
      <alignment horizontal="center" vertical="center"/>
    </xf>
    <xf numFmtId="169" fontId="4" fillId="0" borderId="2" xfId="52" applyNumberFormat="1" applyFont="1" applyBorder="1" applyAlignment="1">
      <alignment horizontal="center" vertical="center"/>
    </xf>
    <xf numFmtId="44" fontId="4" fillId="0" borderId="2" xfId="52" applyNumberFormat="1" applyFont="1" applyBorder="1" applyAlignment="1">
      <alignment horizontal="center" vertical="center"/>
    </xf>
    <xf numFmtId="164" fontId="4" fillId="0" borderId="0" xfId="52" applyNumberFormat="1" applyFont="1" applyAlignment="1">
      <alignment horizontal="center" vertical="center"/>
    </xf>
    <xf numFmtId="44" fontId="4" fillId="0" borderId="13" xfId="52" applyNumberFormat="1" applyFont="1" applyBorder="1" applyAlignment="1">
      <alignment horizontal="center" vertical="center"/>
    </xf>
    <xf numFmtId="169" fontId="4" fillId="0" borderId="8" xfId="52" applyNumberFormat="1" applyFont="1" applyBorder="1" applyAlignment="1">
      <alignment horizontal="center" vertical="center"/>
    </xf>
    <xf numFmtId="0" fontId="4" fillId="0" borderId="14" xfId="52" applyFont="1" applyBorder="1" applyAlignment="1">
      <alignment horizontal="center" vertical="center"/>
    </xf>
    <xf numFmtId="169" fontId="4" fillId="0" borderId="15" xfId="52" applyNumberFormat="1" applyFont="1" applyBorder="1" applyAlignment="1">
      <alignment horizontal="center" vertical="center"/>
    </xf>
    <xf numFmtId="9" fontId="8" fillId="0" borderId="0" xfId="52" applyNumberFormat="1" applyFont="1" applyAlignment="1">
      <alignment horizontal="center" vertical="center"/>
    </xf>
    <xf numFmtId="44" fontId="9" fillId="3" borderId="18" xfId="52" applyNumberFormat="1" applyFont="1" applyFill="1" applyBorder="1" applyAlignment="1">
      <alignment vertical="center"/>
    </xf>
    <xf numFmtId="0" fontId="5" fillId="5" borderId="11" xfId="52" applyFont="1" applyFill="1" applyBorder="1" applyAlignment="1">
      <alignment horizontal="center" vertical="center"/>
    </xf>
    <xf numFmtId="44" fontId="5" fillId="6" borderId="2" xfId="52" applyNumberFormat="1" applyFont="1" applyFill="1" applyBorder="1" applyAlignment="1">
      <alignment horizontal="center" vertical="center"/>
    </xf>
    <xf numFmtId="0" fontId="5" fillId="6" borderId="2" xfId="52" applyFont="1" applyFill="1" applyBorder="1" applyAlignment="1">
      <alignment horizontal="center" vertical="center"/>
    </xf>
    <xf numFmtId="168" fontId="5" fillId="6" borderId="2" xfId="52" applyNumberFormat="1" applyFont="1" applyFill="1" applyBorder="1" applyAlignment="1">
      <alignment horizontal="center" vertical="center"/>
    </xf>
    <xf numFmtId="0" fontId="10" fillId="9" borderId="11" xfId="51" applyFont="1" applyFill="1" applyBorder="1" applyAlignment="1">
      <alignment horizontal="center" vertical="center"/>
    </xf>
    <xf numFmtId="0" fontId="11" fillId="0" borderId="21" xfId="51" applyFont="1" applyBorder="1" applyAlignment="1">
      <alignment horizontal="center" vertical="center"/>
    </xf>
    <xf numFmtId="9" fontId="10" fillId="0" borderId="22" xfId="51" applyNumberFormat="1" applyFont="1" applyBorder="1" applyAlignment="1">
      <alignment horizontal="center" vertical="center"/>
    </xf>
    <xf numFmtId="0" fontId="12" fillId="0" borderId="0" xfId="51" applyFont="1" applyAlignment="1">
      <alignment horizontal="center"/>
    </xf>
    <xf numFmtId="0" fontId="13" fillId="0" borderId="2" xfId="51" applyFont="1" applyBorder="1" applyAlignment="1">
      <alignment horizontal="center" vertical="center"/>
    </xf>
    <xf numFmtId="44" fontId="13" fillId="0" borderId="2" xfId="51" applyNumberFormat="1" applyFont="1" applyBorder="1" applyAlignment="1">
      <alignment vertical="center"/>
    </xf>
    <xf numFmtId="44" fontId="14" fillId="0" borderId="11" xfId="51" applyNumberFormat="1" applyFont="1" applyBorder="1" applyAlignment="1">
      <alignment vertical="center"/>
    </xf>
    <xf numFmtId="44" fontId="16" fillId="0" borderId="2" xfId="48" applyNumberFormat="1" applyFont="1" applyBorder="1" applyAlignment="1">
      <alignment horizontal="center" vertical="center"/>
    </xf>
    <xf numFmtId="0" fontId="17" fillId="0" borderId="23" xfId="51" applyFont="1" applyBorder="1" applyAlignment="1">
      <alignment horizontal="center" vertical="center"/>
    </xf>
    <xf numFmtId="43" fontId="16" fillId="0" borderId="2" xfId="48" applyNumberFormat="1" applyFont="1" applyBorder="1" applyAlignment="1">
      <alignment horizontal="center" vertical="center"/>
    </xf>
    <xf numFmtId="0" fontId="12" fillId="0" borderId="24" xfId="51" applyFont="1" applyBorder="1" applyAlignment="1">
      <alignment horizontal="center" vertical="center"/>
    </xf>
    <xf numFmtId="10" fontId="16" fillId="0" borderId="2" xfId="48" applyNumberFormat="1" applyFont="1" applyBorder="1" applyAlignment="1">
      <alignment horizontal="center" vertical="center"/>
    </xf>
    <xf numFmtId="0" fontId="12" fillId="0" borderId="25" xfId="51" applyFont="1" applyBorder="1" applyAlignment="1">
      <alignment horizontal="center" vertical="center"/>
    </xf>
    <xf numFmtId="0" fontId="5" fillId="3" borderId="26" xfId="52" applyFont="1" applyFill="1" applyBorder="1" applyAlignment="1">
      <alignment horizontal="center" vertical="center"/>
    </xf>
    <xf numFmtId="0" fontId="4" fillId="0" borderId="27" xfId="52" applyFont="1" applyBorder="1" applyAlignment="1">
      <alignment horizontal="center" vertical="center"/>
    </xf>
    <xf numFmtId="44" fontId="4" fillId="0" borderId="20" xfId="52" applyNumberFormat="1" applyFont="1" applyBorder="1" applyAlignment="1">
      <alignment horizontal="center" vertical="center"/>
    </xf>
    <xf numFmtId="0" fontId="5" fillId="0" borderId="2" xfId="52" applyFont="1" applyBorder="1" applyAlignment="1">
      <alignment horizontal="center" vertical="center"/>
    </xf>
    <xf numFmtId="10" fontId="5" fillId="0" borderId="2" xfId="52" applyNumberFormat="1" applyFont="1" applyBorder="1" applyAlignment="1">
      <alignment horizontal="center" vertical="center"/>
    </xf>
    <xf numFmtId="0" fontId="5" fillId="2" borderId="27" xfId="52" applyFont="1" applyFill="1" applyBorder="1" applyAlignment="1">
      <alignment horizontal="center" vertical="center" wrapText="1"/>
    </xf>
    <xf numFmtId="44" fontId="5" fillId="2" borderId="20" xfId="52" applyNumberFormat="1" applyFont="1" applyFill="1" applyBorder="1" applyAlignment="1">
      <alignment horizontal="center" vertical="center" wrapText="1"/>
    </xf>
    <xf numFmtId="44" fontId="5" fillId="2" borderId="2" xfId="52" applyNumberFormat="1" applyFont="1" applyFill="1" applyBorder="1" applyAlignment="1">
      <alignment horizontal="center" vertical="center" wrapText="1"/>
    </xf>
    <xf numFmtId="44" fontId="5" fillId="0" borderId="2" xfId="52" applyNumberFormat="1" applyFont="1" applyBorder="1" applyAlignment="1">
      <alignment horizontal="center" vertical="center" wrapText="1"/>
    </xf>
    <xf numFmtId="10" fontId="5" fillId="0" borderId="2" xfId="52" applyNumberFormat="1" applyFont="1" applyBorder="1" applyAlignment="1">
      <alignment horizontal="center" vertical="center" wrapText="1"/>
    </xf>
    <xf numFmtId="44" fontId="18" fillId="0" borderId="27" xfId="52" applyNumberFormat="1" applyFont="1" applyBorder="1" applyAlignment="1">
      <alignment horizontal="center" vertical="center"/>
    </xf>
    <xf numFmtId="44" fontId="18" fillId="0" borderId="20" xfId="52" applyNumberFormat="1" applyFont="1" applyBorder="1" applyAlignment="1">
      <alignment horizontal="center" vertical="center"/>
    </xf>
    <xf numFmtId="44" fontId="19" fillId="0" borderId="2" xfId="52" applyNumberFormat="1" applyFont="1" applyBorder="1" applyAlignment="1">
      <alignment horizontal="center" vertical="center"/>
    </xf>
    <xf numFmtId="44" fontId="18" fillId="0" borderId="2" xfId="52" applyNumberFormat="1" applyFont="1" applyBorder="1" applyAlignment="1">
      <alignment horizontal="center" vertical="center"/>
    </xf>
    <xf numFmtId="10" fontId="4" fillId="0" borderId="2" xfId="52" applyNumberFormat="1" applyFont="1" applyBorder="1" applyAlignment="1">
      <alignment horizontal="center" vertical="center"/>
    </xf>
    <xf numFmtId="0" fontId="5" fillId="3" borderId="28" xfId="52" applyFont="1" applyFill="1" applyBorder="1" applyAlignment="1">
      <alignment vertical="center"/>
    </xf>
    <xf numFmtId="10" fontId="5" fillId="11" borderId="2" xfId="52" applyNumberFormat="1" applyFont="1" applyFill="1" applyBorder="1" applyAlignment="1">
      <alignment horizontal="center" vertical="center"/>
    </xf>
    <xf numFmtId="0" fontId="20" fillId="0" borderId="0" xfId="52" applyFont="1" applyAlignment="1">
      <alignment horizontal="center" vertical="center"/>
    </xf>
    <xf numFmtId="164" fontId="4" fillId="0" borderId="2" xfId="52" applyNumberFormat="1" applyFont="1" applyBorder="1" applyAlignment="1">
      <alignment horizontal="center" vertical="center"/>
    </xf>
    <xf numFmtId="164" fontId="5" fillId="0" borderId="2" xfId="52" applyNumberFormat="1" applyFont="1" applyBorder="1" applyAlignment="1">
      <alignment horizontal="center" vertical="center"/>
    </xf>
    <xf numFmtId="164" fontId="4" fillId="7" borderId="2" xfId="52" applyNumberFormat="1" applyFont="1" applyFill="1" applyBorder="1" applyAlignment="1">
      <alignment horizontal="center" vertical="center"/>
    </xf>
    <xf numFmtId="43" fontId="4" fillId="0" borderId="0" xfId="52" applyNumberFormat="1" applyFont="1" applyAlignment="1">
      <alignment horizontal="center" vertical="center"/>
    </xf>
    <xf numFmtId="0" fontId="5" fillId="12" borderId="29" xfId="52" applyFont="1" applyFill="1" applyBorder="1" applyAlignment="1">
      <alignment horizontal="center" vertical="center"/>
    </xf>
    <xf numFmtId="44" fontId="5" fillId="13" borderId="2" xfId="52" applyNumberFormat="1" applyFont="1" applyFill="1" applyBorder="1" applyAlignment="1">
      <alignment horizontal="center" vertical="center" wrapText="1"/>
    </xf>
    <xf numFmtId="0" fontId="4" fillId="0" borderId="7" xfId="52" applyFont="1" applyBorder="1" applyAlignment="1">
      <alignment horizontal="center" vertical="center"/>
    </xf>
    <xf numFmtId="44" fontId="5" fillId="12" borderId="18" xfId="52" applyNumberFormat="1" applyFont="1" applyFill="1" applyBorder="1" applyAlignment="1">
      <alignment vertical="center"/>
    </xf>
    <xf numFmtId="0" fontId="5" fillId="13" borderId="28" xfId="52" applyFont="1" applyFill="1" applyBorder="1" applyAlignment="1">
      <alignment vertical="center"/>
    </xf>
    <xf numFmtId="10" fontId="5" fillId="14" borderId="2" xfId="52" applyNumberFormat="1" applyFont="1" applyFill="1" applyBorder="1" applyAlignment="1">
      <alignment horizontal="center" vertical="center"/>
    </xf>
    <xf numFmtId="0" fontId="4" fillId="0" borderId="0" xfId="53" applyFont="1" applyAlignment="1">
      <alignment horizontal="center" vertical="center"/>
    </xf>
    <xf numFmtId="44" fontId="4" fillId="0" borderId="0" xfId="53" applyNumberFormat="1" applyFont="1" applyAlignment="1">
      <alignment horizontal="center" vertical="center"/>
    </xf>
    <xf numFmtId="0" fontId="4" fillId="0" borderId="0" xfId="53" applyFont="1"/>
    <xf numFmtId="44" fontId="4" fillId="0" borderId="0" xfId="53" applyNumberFormat="1" applyFont="1"/>
    <xf numFmtId="168" fontId="4" fillId="0" borderId="0" xfId="53" applyNumberFormat="1" applyFont="1" applyAlignment="1">
      <alignment horizontal="center" vertical="center"/>
    </xf>
    <xf numFmtId="0" fontId="5" fillId="0" borderId="1" xfId="53" applyFont="1" applyBorder="1"/>
    <xf numFmtId="44" fontId="6" fillId="0" borderId="3" xfId="53" applyNumberFormat="1" applyFont="1" applyBorder="1" applyAlignment="1">
      <alignment horizontal="center" vertical="center" wrapText="1"/>
    </xf>
    <xf numFmtId="0" fontId="4" fillId="0" borderId="9" xfId="53" applyFont="1" applyBorder="1" applyAlignment="1">
      <alignment horizontal="center" vertical="center"/>
    </xf>
    <xf numFmtId="0" fontId="5" fillId="0" borderId="2" xfId="53" applyFont="1" applyBorder="1" applyAlignment="1">
      <alignment horizontal="center" vertical="center" wrapText="1"/>
    </xf>
    <xf numFmtId="44" fontId="7" fillId="0" borderId="3" xfId="53" applyNumberFormat="1" applyFont="1" applyBorder="1" applyAlignment="1">
      <alignment horizontal="center" vertical="center" wrapText="1"/>
    </xf>
    <xf numFmtId="44" fontId="5" fillId="4" borderId="2" xfId="53" applyNumberFormat="1" applyFont="1" applyFill="1" applyBorder="1" applyAlignment="1">
      <alignment horizontal="center" vertical="center" wrapText="1"/>
    </xf>
    <xf numFmtId="0" fontId="4" fillId="0" borderId="2" xfId="53" applyFont="1" applyBorder="1" applyAlignment="1">
      <alignment horizontal="center" vertical="center"/>
    </xf>
    <xf numFmtId="0" fontId="4" fillId="0" borderId="12" xfId="53" applyFont="1" applyBorder="1" applyAlignment="1">
      <alignment horizontal="center" vertical="center"/>
    </xf>
    <xf numFmtId="169" fontId="4" fillId="0" borderId="2" xfId="53" applyNumberFormat="1" applyFont="1" applyBorder="1" applyAlignment="1">
      <alignment horizontal="center" vertical="center"/>
    </xf>
    <xf numFmtId="44" fontId="4" fillId="0" borderId="2" xfId="53" applyNumberFormat="1" applyFont="1" applyBorder="1" applyAlignment="1">
      <alignment horizontal="center" vertical="center"/>
    </xf>
    <xf numFmtId="44" fontId="4" fillId="0" borderId="13" xfId="53" applyNumberFormat="1" applyFont="1" applyBorder="1" applyAlignment="1">
      <alignment horizontal="center" vertical="center"/>
    </xf>
    <xf numFmtId="169" fontId="4" fillId="0" borderId="8" xfId="53" applyNumberFormat="1" applyFont="1" applyBorder="1" applyAlignment="1">
      <alignment horizontal="center" vertical="center"/>
    </xf>
    <xf numFmtId="0" fontId="4" fillId="0" borderId="14" xfId="53" applyFont="1" applyBorder="1" applyAlignment="1">
      <alignment horizontal="center" vertical="center"/>
    </xf>
    <xf numFmtId="169" fontId="4" fillId="0" borderId="15" xfId="53" applyNumberFormat="1" applyFont="1" applyBorder="1" applyAlignment="1">
      <alignment horizontal="center" vertical="center"/>
    </xf>
    <xf numFmtId="9" fontId="8" fillId="0" borderId="0" xfId="53" applyNumberFormat="1" applyFont="1" applyAlignment="1">
      <alignment horizontal="center" vertical="center"/>
    </xf>
    <xf numFmtId="44" fontId="9" fillId="3" borderId="18" xfId="53" applyNumberFormat="1" applyFont="1" applyFill="1" applyBorder="1" applyAlignment="1">
      <alignment vertical="center"/>
    </xf>
    <xf numFmtId="44" fontId="5" fillId="6" borderId="2" xfId="53" applyNumberFormat="1" applyFont="1" applyFill="1" applyBorder="1" applyAlignment="1">
      <alignment horizontal="center" vertical="center"/>
    </xf>
    <xf numFmtId="0" fontId="5" fillId="6" borderId="2" xfId="53" applyFont="1" applyFill="1" applyBorder="1" applyAlignment="1">
      <alignment horizontal="center" vertical="center"/>
    </xf>
    <xf numFmtId="168" fontId="5" fillId="6" borderId="2" xfId="53" applyNumberFormat="1" applyFont="1" applyFill="1" applyBorder="1" applyAlignment="1">
      <alignment horizontal="center" vertical="center"/>
    </xf>
    <xf numFmtId="0" fontId="10" fillId="9" borderId="11" xfId="53" applyFont="1" applyFill="1" applyBorder="1" applyAlignment="1">
      <alignment horizontal="center" vertical="center"/>
    </xf>
    <xf numFmtId="0" fontId="11" fillId="0" borderId="21" xfId="53" applyFont="1" applyBorder="1" applyAlignment="1">
      <alignment horizontal="center" vertical="center"/>
    </xf>
    <xf numFmtId="9" fontId="10" fillId="0" borderId="22" xfId="53" applyNumberFormat="1" applyFont="1" applyBorder="1" applyAlignment="1">
      <alignment horizontal="center" vertical="center"/>
    </xf>
    <xf numFmtId="0" fontId="12" fillId="0" borderId="0" xfId="53" applyFont="1" applyAlignment="1">
      <alignment horizontal="center"/>
    </xf>
    <xf numFmtId="0" fontId="13" fillId="0" borderId="2" xfId="53" applyFont="1" applyBorder="1" applyAlignment="1">
      <alignment horizontal="center" vertical="center"/>
    </xf>
    <xf numFmtId="44" fontId="13" fillId="0" borderId="2" xfId="53" applyNumberFormat="1" applyFont="1" applyBorder="1" applyAlignment="1">
      <alignment vertical="center"/>
    </xf>
    <xf numFmtId="44" fontId="14" fillId="0" borderId="11" xfId="53" applyNumberFormat="1" applyFont="1" applyBorder="1" applyAlignment="1">
      <alignment vertical="center"/>
    </xf>
    <xf numFmtId="44" fontId="16" fillId="0" borderId="2" xfId="49" applyNumberFormat="1" applyFont="1" applyBorder="1" applyAlignment="1">
      <alignment horizontal="center" vertical="center"/>
    </xf>
    <xf numFmtId="0" fontId="17" fillId="0" borderId="23" xfId="53" applyFont="1" applyBorder="1" applyAlignment="1">
      <alignment horizontal="center" vertical="center"/>
    </xf>
    <xf numFmtId="43" fontId="16" fillId="0" borderId="2" xfId="49" applyNumberFormat="1" applyFont="1" applyBorder="1" applyAlignment="1">
      <alignment horizontal="center" vertical="center"/>
    </xf>
    <xf numFmtId="0" fontId="12" fillId="0" borderId="24" xfId="53" applyFont="1" applyBorder="1" applyAlignment="1">
      <alignment horizontal="center" vertical="center"/>
    </xf>
    <xf numFmtId="10" fontId="16" fillId="0" borderId="2" xfId="49" applyNumberFormat="1" applyFont="1" applyBorder="1" applyAlignment="1">
      <alignment horizontal="center" vertical="center"/>
    </xf>
    <xf numFmtId="0" fontId="12" fillId="0" borderId="25" xfId="53" applyFont="1" applyBorder="1" applyAlignment="1">
      <alignment horizontal="center" vertical="center"/>
    </xf>
    <xf numFmtId="164" fontId="4" fillId="0" borderId="0" xfId="53" applyNumberFormat="1" applyFont="1" applyAlignment="1">
      <alignment horizontal="center" vertical="center"/>
    </xf>
    <xf numFmtId="0" fontId="5" fillId="3" borderId="26" xfId="53" applyFont="1" applyFill="1" applyBorder="1" applyAlignment="1">
      <alignment horizontal="center" vertical="center"/>
    </xf>
    <xf numFmtId="0" fontId="4" fillId="0" borderId="27" xfId="53" applyFont="1" applyBorder="1" applyAlignment="1">
      <alignment horizontal="center" vertical="center"/>
    </xf>
    <xf numFmtId="0" fontId="5" fillId="2" borderId="27" xfId="53" applyFont="1" applyFill="1" applyBorder="1" applyAlignment="1">
      <alignment horizontal="center" vertical="center" wrapText="1"/>
    </xf>
    <xf numFmtId="44" fontId="5" fillId="13" borderId="2" xfId="53" applyNumberFormat="1" applyFont="1" applyFill="1" applyBorder="1" applyAlignment="1">
      <alignment horizontal="center" vertical="center" wrapText="1"/>
    </xf>
    <xf numFmtId="44" fontId="18" fillId="0" borderId="27" xfId="53" applyNumberFormat="1" applyFont="1" applyBorder="1" applyAlignment="1">
      <alignment horizontal="center" vertical="center"/>
    </xf>
    <xf numFmtId="0" fontId="4" fillId="0" borderId="7" xfId="53" applyFont="1" applyBorder="1" applyAlignment="1">
      <alignment horizontal="center" vertical="center"/>
    </xf>
    <xf numFmtId="0" fontId="5" fillId="3" borderId="28" xfId="53" applyFont="1" applyFill="1" applyBorder="1" applyAlignment="1">
      <alignment vertical="center"/>
    </xf>
    <xf numFmtId="44" fontId="5" fillId="12" borderId="18" xfId="53" applyNumberFormat="1" applyFont="1" applyFill="1" applyBorder="1" applyAlignment="1">
      <alignment vertical="center"/>
    </xf>
    <xf numFmtId="0" fontId="20" fillId="0" borderId="0" xfId="53" applyFont="1" applyAlignment="1">
      <alignment horizontal="center" vertical="center"/>
    </xf>
    <xf numFmtId="164" fontId="19" fillId="0" borderId="2" xfId="53" applyNumberFormat="1" applyFont="1" applyBorder="1" applyAlignment="1">
      <alignment horizontal="center" vertical="center"/>
    </xf>
    <xf numFmtId="164" fontId="9" fillId="0" borderId="2" xfId="53" applyNumberFormat="1" applyFont="1" applyBorder="1" applyAlignment="1">
      <alignment horizontal="center" vertical="center"/>
    </xf>
    <xf numFmtId="43" fontId="4" fillId="0" borderId="0" xfId="53" applyNumberFormat="1" applyFont="1" applyAlignment="1">
      <alignment horizontal="center" vertical="center"/>
    </xf>
    <xf numFmtId="0" fontId="21" fillId="0" borderId="0" xfId="43" applyFont="1" applyAlignment="1">
      <alignment horizontal="center" vertical="center"/>
    </xf>
    <xf numFmtId="0" fontId="21" fillId="0" borderId="0" xfId="43" applyFont="1" applyAlignment="1">
      <alignment vertical="center"/>
    </xf>
    <xf numFmtId="0" fontId="22" fillId="0" borderId="0" xfId="43" applyFont="1" applyAlignment="1" applyProtection="1">
      <alignment horizontal="center" vertical="center"/>
      <protection locked="0"/>
    </xf>
    <xf numFmtId="10" fontId="22" fillId="0" borderId="0" xfId="43" applyNumberFormat="1" applyFont="1" applyAlignment="1" applyProtection="1">
      <alignment horizontal="center" vertical="center"/>
      <protection locked="0"/>
    </xf>
    <xf numFmtId="0" fontId="24" fillId="0" borderId="0" xfId="43"/>
    <xf numFmtId="0" fontId="19" fillId="0" borderId="2" xfId="43" applyFont="1" applyBorder="1" applyAlignment="1">
      <alignment horizontal="center" vertical="center"/>
    </xf>
    <xf numFmtId="0" fontId="19" fillId="0" borderId="0" xfId="43" applyFont="1" applyAlignment="1">
      <alignment horizontal="center" vertical="center"/>
    </xf>
    <xf numFmtId="0" fontId="19" fillId="0" borderId="0" xfId="43" applyFont="1"/>
    <xf numFmtId="0" fontId="36" fillId="0" borderId="0" xfId="43" applyFont="1" applyAlignment="1">
      <alignment horizontal="right" vertical="center" wrapText="1"/>
    </xf>
    <xf numFmtId="0" fontId="19" fillId="0" borderId="0" xfId="0" applyFont="1"/>
    <xf numFmtId="0" fontId="12" fillId="0" borderId="0" xfId="0" applyFont="1"/>
    <xf numFmtId="0" fontId="12" fillId="0" borderId="0" xfId="0" applyFont="1" applyAlignment="1">
      <alignment horizontal="center"/>
    </xf>
    <xf numFmtId="0" fontId="37" fillId="19" borderId="52" xfId="0" applyFont="1" applyFill="1" applyBorder="1" applyAlignment="1">
      <alignment horizontal="center" vertical="center"/>
    </xf>
    <xf numFmtId="0" fontId="37" fillId="28" borderId="8" xfId="0" applyFont="1" applyFill="1" applyBorder="1" applyAlignment="1">
      <alignment horizontal="center" vertical="center" wrapText="1"/>
    </xf>
    <xf numFmtId="0" fontId="37" fillId="28" borderId="2" xfId="0" applyFont="1" applyFill="1" applyBorder="1" applyAlignment="1">
      <alignment horizontal="center" vertical="center" wrapText="1"/>
    </xf>
    <xf numFmtId="0" fontId="37" fillId="19" borderId="55" xfId="0" applyFont="1" applyFill="1" applyBorder="1" applyAlignment="1">
      <alignment horizontal="center" vertical="center"/>
    </xf>
    <xf numFmtId="44" fontId="38" fillId="19" borderId="36" xfId="0" applyNumberFormat="1" applyFont="1" applyFill="1" applyBorder="1" applyAlignment="1">
      <alignment horizontal="center" vertical="center"/>
    </xf>
    <xf numFmtId="44" fontId="31" fillId="30" borderId="36" xfId="0" applyNumberFormat="1" applyFont="1" applyFill="1" applyBorder="1" applyAlignment="1">
      <alignment horizontal="center" vertical="center"/>
    </xf>
    <xf numFmtId="0" fontId="37" fillId="19" borderId="50" xfId="0" applyFont="1" applyFill="1" applyBorder="1" applyAlignment="1">
      <alignment horizontal="center" vertical="center"/>
    </xf>
    <xf numFmtId="44" fontId="31" fillId="30" borderId="2" xfId="0" applyNumberFormat="1" applyFont="1" applyFill="1" applyBorder="1" applyAlignment="1">
      <alignment horizontal="center" vertical="center"/>
    </xf>
    <xf numFmtId="44" fontId="31" fillId="19" borderId="2" xfId="0" applyNumberFormat="1" applyFont="1" applyFill="1" applyBorder="1" applyAlignment="1">
      <alignment horizontal="center" vertical="center"/>
    </xf>
    <xf numFmtId="44" fontId="38" fillId="19" borderId="2" xfId="0" applyNumberFormat="1" applyFont="1" applyFill="1" applyBorder="1" applyAlignment="1">
      <alignment horizontal="center" vertical="center"/>
    </xf>
    <xf numFmtId="0" fontId="37" fillId="19" borderId="56" xfId="0" applyFont="1" applyFill="1" applyBorder="1" applyAlignment="1">
      <alignment horizontal="center" vertical="center"/>
    </xf>
    <xf numFmtId="44" fontId="31" fillId="30" borderId="15" xfId="0" applyNumberFormat="1" applyFont="1" applyFill="1" applyBorder="1" applyAlignment="1">
      <alignment horizontal="center" vertical="center"/>
    </xf>
    <xf numFmtId="44" fontId="31" fillId="19" borderId="15" xfId="0" applyNumberFormat="1" applyFont="1" applyFill="1" applyBorder="1" applyAlignment="1">
      <alignment horizontal="center" vertical="center"/>
    </xf>
    <xf numFmtId="44" fontId="38" fillId="19" borderId="15" xfId="0" applyNumberFormat="1" applyFont="1" applyFill="1" applyBorder="1" applyAlignment="1">
      <alignment horizontal="center" vertical="center"/>
    </xf>
    <xf numFmtId="0" fontId="9" fillId="23" borderId="2" xfId="0" applyFont="1" applyFill="1" applyBorder="1" applyAlignment="1">
      <alignment horizontal="center" vertical="center"/>
    </xf>
    <xf numFmtId="0" fontId="9" fillId="23" borderId="2" xfId="0" applyFont="1" applyFill="1" applyBorder="1" applyAlignment="1">
      <alignment horizontal="center" vertical="center" wrapText="1"/>
    </xf>
    <xf numFmtId="0" fontId="23" fillId="28" borderId="2" xfId="0" applyFont="1" applyFill="1" applyBorder="1" applyAlignment="1">
      <alignment horizontal="center" vertical="center" wrapText="1"/>
    </xf>
    <xf numFmtId="0" fontId="23" fillId="0" borderId="11" xfId="0" applyFont="1" applyBorder="1" applyAlignment="1">
      <alignment horizontal="center" vertical="center" wrapText="1"/>
    </xf>
    <xf numFmtId="44" fontId="9" fillId="20" borderId="11" xfId="0" applyNumberFormat="1" applyFont="1" applyFill="1" applyBorder="1" applyAlignment="1">
      <alignment horizontal="center" vertical="center"/>
    </xf>
    <xf numFmtId="44" fontId="39" fillId="31" borderId="11" xfId="0" applyNumberFormat="1" applyFont="1" applyFill="1" applyBorder="1" applyAlignment="1">
      <alignment horizontal="center" vertical="center"/>
    </xf>
    <xf numFmtId="44" fontId="19" fillId="32" borderId="11" xfId="0" applyNumberFormat="1" applyFont="1" applyFill="1" applyBorder="1" applyAlignment="1">
      <alignment horizontal="center" vertical="center"/>
    </xf>
    <xf numFmtId="0" fontId="23" fillId="21" borderId="11" xfId="0" applyFont="1" applyFill="1" applyBorder="1" applyAlignment="1">
      <alignment horizontal="center" vertical="center" wrapText="1"/>
    </xf>
    <xf numFmtId="44" fontId="19" fillId="31" borderId="11" xfId="0" applyNumberFormat="1" applyFont="1" applyFill="1" applyBorder="1" applyAlignment="1">
      <alignment horizontal="center" vertical="center"/>
    </xf>
    <xf numFmtId="0" fontId="19" fillId="0" borderId="0" xfId="0" applyFont="1" applyAlignment="1">
      <alignment horizontal="center"/>
    </xf>
    <xf numFmtId="44" fontId="19" fillId="0" borderId="0" xfId="0" applyNumberFormat="1" applyFont="1" applyAlignment="1">
      <alignment horizontal="center"/>
    </xf>
    <xf numFmtId="0" fontId="9" fillId="28" borderId="2" xfId="43" applyFont="1" applyFill="1" applyBorder="1" applyAlignment="1">
      <alignment horizontal="center" vertical="center" wrapText="1"/>
    </xf>
    <xf numFmtId="0" fontId="9" fillId="0" borderId="3" xfId="43" applyFont="1" applyBorder="1" applyAlignment="1">
      <alignment vertical="center" wrapText="1"/>
    </xf>
    <xf numFmtId="0" fontId="9" fillId="0" borderId="0" xfId="43" applyFont="1" applyAlignment="1">
      <alignment vertical="center" wrapText="1"/>
    </xf>
    <xf numFmtId="10" fontId="21" fillId="0" borderId="0" xfId="43" applyNumberFormat="1" applyFont="1" applyAlignment="1">
      <alignment horizontal="center" vertical="center"/>
    </xf>
    <xf numFmtId="0" fontId="37" fillId="4" borderId="15" xfId="0" applyFont="1" applyFill="1" applyBorder="1" applyAlignment="1">
      <alignment horizontal="justify" vertical="center" wrapText="1"/>
    </xf>
    <xf numFmtId="0" fontId="37" fillId="5" borderId="8" xfId="0" applyFont="1" applyFill="1" applyBorder="1" applyAlignment="1">
      <alignment horizontal="center" vertical="center"/>
    </xf>
    <xf numFmtId="44" fontId="37" fillId="19" borderId="60" xfId="0" applyNumberFormat="1" applyFont="1" applyFill="1" applyBorder="1" applyAlignment="1">
      <alignment horizontal="center" vertical="center"/>
    </xf>
    <xf numFmtId="44" fontId="31" fillId="4" borderId="36" xfId="0" applyNumberFormat="1" applyFont="1" applyFill="1" applyBorder="1" applyAlignment="1">
      <alignment horizontal="center" vertical="center"/>
    </xf>
    <xf numFmtId="44" fontId="31" fillId="5" borderId="61" xfId="0" applyNumberFormat="1" applyFont="1" applyFill="1" applyBorder="1" applyAlignment="1">
      <alignment horizontal="center" vertical="center"/>
    </xf>
    <xf numFmtId="44" fontId="40" fillId="19" borderId="53" xfId="0" applyNumberFormat="1" applyFont="1" applyFill="1" applyBorder="1" applyAlignment="1">
      <alignment horizontal="center" vertical="center"/>
    </xf>
    <xf numFmtId="44" fontId="38" fillId="19" borderId="8" xfId="0" applyNumberFormat="1" applyFont="1" applyFill="1" applyBorder="1" applyAlignment="1">
      <alignment horizontal="center" vertical="center"/>
    </xf>
    <xf numFmtId="44" fontId="38" fillId="19" borderId="32" xfId="0" applyNumberFormat="1" applyFont="1" applyFill="1" applyBorder="1" applyAlignment="1">
      <alignment horizontal="center" vertical="center"/>
    </xf>
    <xf numFmtId="44" fontId="31" fillId="4" borderId="2" xfId="0" applyNumberFormat="1" applyFont="1" applyFill="1" applyBorder="1" applyAlignment="1">
      <alignment horizontal="center" vertical="center"/>
    </xf>
    <xf numFmtId="44" fontId="31" fillId="5" borderId="20" xfId="0" applyNumberFormat="1" applyFont="1" applyFill="1" applyBorder="1" applyAlignment="1">
      <alignment horizontal="center" vertical="center"/>
    </xf>
    <xf numFmtId="44" fontId="31" fillId="19" borderId="51" xfId="0" applyNumberFormat="1" applyFont="1" applyFill="1" applyBorder="1" applyAlignment="1">
      <alignment horizontal="center" vertical="center"/>
    </xf>
    <xf numFmtId="44" fontId="38" fillId="19" borderId="9" xfId="0" applyNumberFormat="1" applyFont="1" applyFill="1" applyBorder="1" applyAlignment="1">
      <alignment horizontal="center" vertical="center"/>
    </xf>
    <xf numFmtId="44" fontId="31" fillId="4" borderId="11" xfId="0" applyNumberFormat="1" applyFont="1" applyFill="1" applyBorder="1" applyAlignment="1">
      <alignment horizontal="center" vertical="center"/>
    </xf>
    <xf numFmtId="44" fontId="40" fillId="19" borderId="51" xfId="0" applyNumberFormat="1" applyFont="1" applyFill="1" applyBorder="1" applyAlignment="1">
      <alignment horizontal="center" vertical="center"/>
    </xf>
    <xf numFmtId="44" fontId="38" fillId="19" borderId="62" xfId="0" applyNumberFormat="1" applyFont="1" applyFill="1" applyBorder="1" applyAlignment="1">
      <alignment horizontal="center" vertical="center"/>
    </xf>
    <xf numFmtId="44" fontId="31" fillId="4" borderId="15" xfId="0" applyNumberFormat="1" applyFont="1" applyFill="1" applyBorder="1" applyAlignment="1">
      <alignment horizontal="center" vertical="center"/>
    </xf>
    <xf numFmtId="44" fontId="31" fillId="5" borderId="63" xfId="0" applyNumberFormat="1" applyFont="1" applyFill="1" applyBorder="1" applyAlignment="1">
      <alignment horizontal="center" vertical="center"/>
    </xf>
    <xf numFmtId="44" fontId="31" fillId="19" borderId="54" xfId="0" applyNumberFormat="1" applyFont="1" applyFill="1" applyBorder="1" applyAlignment="1">
      <alignment horizontal="center" vertical="center"/>
    </xf>
    <xf numFmtId="0" fontId="23" fillId="28" borderId="8" xfId="0" applyFont="1" applyFill="1" applyBorder="1" applyAlignment="1">
      <alignment horizontal="center" vertical="center" wrapText="1"/>
    </xf>
    <xf numFmtId="0" fontId="23" fillId="23" borderId="2" xfId="0" applyFont="1" applyFill="1" applyBorder="1" applyAlignment="1">
      <alignment horizontal="center" vertical="center" wrapText="1"/>
    </xf>
    <xf numFmtId="44" fontId="19" fillId="19" borderId="11" xfId="0" applyNumberFormat="1" applyFont="1" applyFill="1" applyBorder="1" applyAlignment="1">
      <alignment horizontal="center" vertical="center"/>
    </xf>
    <xf numFmtId="44" fontId="19" fillId="19" borderId="2" xfId="0" applyNumberFormat="1" applyFont="1" applyFill="1" applyBorder="1" applyAlignment="1">
      <alignment horizontal="center" vertical="center"/>
    </xf>
    <xf numFmtId="44" fontId="19" fillId="0" borderId="0" xfId="0" applyNumberFormat="1" applyFont="1" applyAlignment="1">
      <alignment vertical="center"/>
    </xf>
    <xf numFmtId="44" fontId="12" fillId="0" borderId="0" xfId="0" applyNumberFormat="1" applyFont="1" applyAlignment="1">
      <alignment horizontal="center" vertical="center"/>
    </xf>
    <xf numFmtId="44" fontId="19" fillId="0" borderId="11" xfId="0" applyNumberFormat="1" applyFont="1" applyBorder="1" applyAlignment="1">
      <alignment vertical="center"/>
    </xf>
    <xf numFmtId="44" fontId="19" fillId="0" borderId="2" xfId="0" applyNumberFormat="1" applyFont="1" applyBorder="1" applyAlignment="1">
      <alignment vertical="center"/>
    </xf>
    <xf numFmtId="44" fontId="41" fillId="0" borderId="2" xfId="0" applyNumberFormat="1" applyFont="1" applyBorder="1" applyAlignment="1">
      <alignment vertical="center"/>
    </xf>
    <xf numFmtId="44" fontId="39" fillId="0" borderId="2" xfId="0" applyNumberFormat="1" applyFont="1" applyBorder="1" applyAlignment="1">
      <alignment vertical="center"/>
    </xf>
    <xf numFmtId="0" fontId="22" fillId="0" borderId="0" xfId="59" applyFont="1">
      <alignment vertical="center"/>
    </xf>
    <xf numFmtId="0" fontId="42" fillId="0" borderId="0" xfId="59">
      <alignment vertical="center"/>
    </xf>
    <xf numFmtId="0" fontId="22" fillId="0" borderId="0" xfId="61" applyNumberFormat="1" applyFont="1" applyFill="1" applyBorder="1" applyAlignment="1">
      <alignment vertical="center"/>
    </xf>
    <xf numFmtId="0" fontId="22" fillId="0" borderId="0" xfId="5" applyNumberFormat="1" applyFont="1" applyFill="1" applyBorder="1" applyAlignment="1">
      <alignment vertical="center"/>
    </xf>
    <xf numFmtId="0" fontId="22" fillId="0" borderId="0" xfId="59" applyFont="1" applyAlignment="1">
      <alignment vertical="center" shrinkToFit="1"/>
    </xf>
    <xf numFmtId="0" fontId="22" fillId="0" borderId="0" xfId="59" applyFont="1" applyAlignment="1">
      <alignment horizontal="left" vertical="center" shrinkToFit="1"/>
    </xf>
    <xf numFmtId="0" fontId="22" fillId="0" borderId="0" xfId="59" applyFont="1" applyAlignment="1">
      <alignment horizontal="center" vertical="center" shrinkToFit="1"/>
    </xf>
    <xf numFmtId="10" fontId="22" fillId="0" borderId="0" xfId="59" applyNumberFormat="1" applyFont="1">
      <alignment vertical="center"/>
    </xf>
    <xf numFmtId="0" fontId="43" fillId="0" borderId="0" xfId="32" applyFont="1" applyAlignment="1">
      <alignment vertical="center" wrapText="1"/>
    </xf>
    <xf numFmtId="0" fontId="35" fillId="0" borderId="0" xfId="43" applyFont="1" applyAlignment="1">
      <alignment horizontal="justify" vertical="center" wrapText="1"/>
    </xf>
    <xf numFmtId="0" fontId="27" fillId="0" borderId="0" xfId="37"/>
    <xf numFmtId="0" fontId="27" fillId="0" borderId="0" xfId="24"/>
    <xf numFmtId="0" fontId="25" fillId="0" borderId="0" xfId="24" applyFont="1" applyAlignment="1">
      <alignment horizontal="center" vertical="center"/>
    </xf>
    <xf numFmtId="0" fontId="32" fillId="0" borderId="0" xfId="43" applyFont="1" applyAlignment="1">
      <alignment horizontal="center" vertical="center" wrapText="1"/>
    </xf>
    <xf numFmtId="164" fontId="24" fillId="0" borderId="0" xfId="43" applyNumberFormat="1" applyAlignment="1">
      <alignment vertical="center"/>
    </xf>
    <xf numFmtId="0" fontId="46" fillId="0" borderId="0" xfId="43" applyFont="1"/>
    <xf numFmtId="0" fontId="45" fillId="0" borderId="0" xfId="43" applyFont="1"/>
    <xf numFmtId="0" fontId="12" fillId="0" borderId="0" xfId="43" applyFont="1" applyAlignment="1">
      <alignment horizontal="center" vertical="center"/>
    </xf>
    <xf numFmtId="0" fontId="12" fillId="0" borderId="0" xfId="43" applyFont="1" applyAlignment="1">
      <alignment horizontal="center"/>
    </xf>
    <xf numFmtId="0" fontId="12" fillId="0" borderId="0" xfId="43" applyFont="1"/>
    <xf numFmtId="0" fontId="46" fillId="0" borderId="0" xfId="43" applyFont="1" applyAlignment="1">
      <alignment horizontal="center" vertical="center"/>
    </xf>
    <xf numFmtId="0" fontId="46" fillId="0" borderId="0" xfId="43" applyFont="1" applyAlignment="1">
      <alignment horizontal="center"/>
    </xf>
    <xf numFmtId="0" fontId="45" fillId="0" borderId="0" xfId="43" applyFont="1" applyAlignment="1">
      <alignment horizontal="center" vertical="center"/>
    </xf>
    <xf numFmtId="0" fontId="45" fillId="0" borderId="0" xfId="43" applyFont="1" applyAlignment="1">
      <alignment horizontal="center"/>
    </xf>
    <xf numFmtId="0" fontId="9" fillId="23" borderId="2" xfId="43" applyFont="1" applyFill="1" applyBorder="1" applyAlignment="1">
      <alignment horizontal="center" vertical="center"/>
    </xf>
    <xf numFmtId="0" fontId="9" fillId="23" borderId="2" xfId="43" applyFont="1" applyFill="1" applyBorder="1" applyAlignment="1">
      <alignment horizontal="center" vertical="center" wrapText="1"/>
    </xf>
    <xf numFmtId="0" fontId="23" fillId="23" borderId="2" xfId="43" applyFont="1" applyFill="1" applyBorder="1" applyAlignment="1">
      <alignment horizontal="center" vertical="center" wrapText="1"/>
    </xf>
    <xf numFmtId="0" fontId="5" fillId="0" borderId="2" xfId="19" applyFont="1" applyBorder="1" applyAlignment="1">
      <alignment horizontal="center" vertical="center" wrapText="1"/>
    </xf>
    <xf numFmtId="44" fontId="19" fillId="32" borderId="11" xfId="43" applyNumberFormat="1" applyFont="1" applyFill="1" applyBorder="1" applyAlignment="1">
      <alignment horizontal="center" vertical="center"/>
    </xf>
    <xf numFmtId="0" fontId="19" fillId="0" borderId="0" xfId="43" applyFont="1" applyAlignment="1">
      <alignment horizontal="center"/>
    </xf>
    <xf numFmtId="44" fontId="19" fillId="0" borderId="0" xfId="43" applyNumberFormat="1" applyFont="1" applyAlignment="1">
      <alignment horizontal="center"/>
    </xf>
    <xf numFmtId="44" fontId="46" fillId="0" borderId="0" xfId="43" applyNumberFormat="1" applyFont="1" applyAlignment="1">
      <alignment vertical="center"/>
    </xf>
    <xf numFmtId="44" fontId="45" fillId="0" borderId="0" xfId="43" applyNumberFormat="1" applyFont="1" applyAlignment="1">
      <alignment horizontal="center" vertical="center"/>
    </xf>
    <xf numFmtId="44" fontId="19" fillId="0" borderId="11" xfId="43" applyNumberFormat="1" applyFont="1" applyBorder="1" applyAlignment="1">
      <alignment vertical="center"/>
    </xf>
    <xf numFmtId="44" fontId="19" fillId="0" borderId="2" xfId="43" applyNumberFormat="1" applyFont="1" applyBorder="1" applyAlignment="1">
      <alignment vertical="center"/>
    </xf>
    <xf numFmtId="44" fontId="47" fillId="0" borderId="2" xfId="43" applyNumberFormat="1" applyFont="1" applyBorder="1" applyAlignment="1">
      <alignment vertical="center"/>
    </xf>
    <xf numFmtId="44" fontId="22" fillId="0" borderId="0" xfId="43" applyNumberFormat="1" applyFont="1" applyAlignment="1" applyProtection="1">
      <alignment horizontal="center" vertical="center"/>
      <protection locked="0"/>
    </xf>
    <xf numFmtId="0" fontId="24" fillId="0" borderId="0" xfId="88"/>
    <xf numFmtId="0" fontId="23" fillId="23" borderId="11" xfId="43" applyFont="1" applyFill="1" applyBorder="1" applyAlignment="1">
      <alignment horizontal="center" vertical="center" wrapText="1"/>
    </xf>
    <xf numFmtId="0" fontId="2" fillId="0" borderId="0" xfId="89"/>
    <xf numFmtId="0" fontId="51" fillId="19" borderId="0" xfId="89" applyFont="1" applyFill="1" applyAlignment="1">
      <alignment horizontal="left"/>
    </xf>
    <xf numFmtId="0" fontId="51" fillId="19" borderId="0" xfId="89" applyFont="1" applyFill="1" applyAlignment="1">
      <alignment horizontal="center"/>
    </xf>
    <xf numFmtId="49" fontId="51" fillId="19" borderId="0" xfId="89" applyNumberFormat="1" applyFont="1" applyFill="1" applyAlignment="1">
      <alignment horizontal="center"/>
    </xf>
    <xf numFmtId="44" fontId="9" fillId="26" borderId="11" xfId="43" applyNumberFormat="1" applyFont="1" applyFill="1" applyBorder="1" applyAlignment="1">
      <alignment horizontal="center" vertical="center"/>
    </xf>
    <xf numFmtId="44" fontId="44" fillId="0" borderId="2" xfId="43" applyNumberFormat="1" applyFont="1" applyBorder="1" applyAlignment="1">
      <alignment horizontal="center" vertical="center"/>
    </xf>
    <xf numFmtId="44" fontId="18" fillId="15" borderId="11" xfId="43" applyNumberFormat="1" applyFont="1" applyFill="1" applyBorder="1" applyAlignment="1">
      <alignment horizontal="center" vertical="center"/>
    </xf>
    <xf numFmtId="44" fontId="44" fillId="31" borderId="2" xfId="43" applyNumberFormat="1" applyFont="1" applyFill="1" applyBorder="1" applyAlignment="1">
      <alignment horizontal="center" vertical="center"/>
    </xf>
    <xf numFmtId="0" fontId="45" fillId="29" borderId="0" xfId="43" applyFont="1" applyFill="1" applyAlignment="1">
      <alignment horizontal="center"/>
    </xf>
    <xf numFmtId="44" fontId="18" fillId="0" borderId="11" xfId="43" applyNumberFormat="1" applyFont="1" applyBorder="1" applyAlignment="1">
      <alignment horizontal="center" vertical="center"/>
    </xf>
    <xf numFmtId="44" fontId="18" fillId="16" borderId="11" xfId="43" applyNumberFormat="1" applyFont="1" applyFill="1" applyBorder="1" applyAlignment="1">
      <alignment horizontal="center" vertical="center"/>
    </xf>
    <xf numFmtId="44" fontId="18" fillId="34" borderId="11" xfId="43" applyNumberFormat="1" applyFont="1" applyFill="1" applyBorder="1" applyAlignment="1">
      <alignment horizontal="center" vertical="center"/>
    </xf>
    <xf numFmtId="0" fontId="12" fillId="15" borderId="2" xfId="43" applyFont="1" applyFill="1" applyBorder="1" applyAlignment="1">
      <alignment horizontal="center"/>
    </xf>
    <xf numFmtId="0" fontId="12" fillId="16" borderId="2" xfId="43" applyFont="1" applyFill="1" applyBorder="1" applyAlignment="1">
      <alignment horizontal="center"/>
    </xf>
    <xf numFmtId="0" fontId="12" fillId="10" borderId="2" xfId="43" applyFont="1" applyFill="1" applyBorder="1" applyAlignment="1">
      <alignment horizontal="center"/>
    </xf>
    <xf numFmtId="0" fontId="12" fillId="34" borderId="2" xfId="43" applyFont="1" applyFill="1" applyBorder="1" applyAlignment="1">
      <alignment horizontal="center"/>
    </xf>
    <xf numFmtId="44" fontId="55" fillId="0" borderId="2" xfId="43" applyNumberFormat="1" applyFont="1" applyBorder="1" applyAlignment="1">
      <alignment vertical="center"/>
    </xf>
    <xf numFmtId="44" fontId="18" fillId="10" borderId="11" xfId="43" applyNumberFormat="1" applyFont="1" applyFill="1" applyBorder="1" applyAlignment="1">
      <alignment horizontal="center" vertical="center"/>
    </xf>
    <xf numFmtId="4" fontId="26" fillId="0" borderId="0" xfId="91" applyNumberFormat="1" applyFont="1"/>
    <xf numFmtId="0" fontId="1" fillId="0" borderId="0" xfId="91"/>
    <xf numFmtId="4" fontId="30" fillId="0" borderId="0" xfId="91" applyNumberFormat="1" applyFont="1" applyAlignment="1">
      <alignment wrapText="1"/>
    </xf>
    <xf numFmtId="164" fontId="52" fillId="0" borderId="0" xfId="91" applyNumberFormat="1" applyFont="1"/>
    <xf numFmtId="44" fontId="1" fillId="0" borderId="0" xfId="91" applyNumberFormat="1"/>
    <xf numFmtId="0" fontId="29" fillId="0" borderId="0" xfId="91" applyFont="1" applyAlignment="1">
      <alignment horizontal="right" vertical="center" wrapText="1"/>
    </xf>
    <xf numFmtId="0" fontId="1" fillId="0" borderId="0" xfId="91" applyAlignment="1">
      <alignment horizontal="right" vertical="center" wrapText="1"/>
    </xf>
    <xf numFmtId="10" fontId="29" fillId="0" borderId="0" xfId="91" applyNumberFormat="1" applyFont="1" applyAlignment="1">
      <alignment horizontal="center" vertical="center" wrapText="1"/>
    </xf>
    <xf numFmtId="44" fontId="29" fillId="0" borderId="0" xfId="91" applyNumberFormat="1" applyFont="1" applyAlignment="1">
      <alignment horizontal="center" vertical="center" wrapText="1"/>
    </xf>
    <xf numFmtId="0" fontId="28" fillId="0" borderId="0" xfId="91" applyFont="1" applyAlignment="1">
      <alignment horizontal="center" vertical="center" wrapText="1"/>
    </xf>
    <xf numFmtId="0" fontId="28" fillId="0" borderId="0" xfId="91" applyFont="1" applyAlignment="1">
      <alignment horizontal="left" vertical="center" wrapText="1"/>
    </xf>
    <xf numFmtId="10" fontId="28" fillId="0" borderId="0" xfId="91" applyNumberFormat="1" applyFont="1" applyAlignment="1">
      <alignment horizontal="center" vertical="center" wrapText="1"/>
    </xf>
    <xf numFmtId="44" fontId="28" fillId="0" borderId="0" xfId="91" applyNumberFormat="1" applyFont="1" applyAlignment="1">
      <alignment horizontal="center" vertical="center" wrapText="1"/>
    </xf>
    <xf numFmtId="44" fontId="23" fillId="35" borderId="2" xfId="0" applyNumberFormat="1" applyFont="1" applyFill="1" applyBorder="1" applyAlignment="1">
      <alignment horizontal="center" vertical="center"/>
    </xf>
    <xf numFmtId="44" fontId="12" fillId="0" borderId="0" xfId="43" applyNumberFormat="1" applyFont="1" applyAlignment="1">
      <alignment horizontal="center"/>
    </xf>
    <xf numFmtId="44" fontId="57" fillId="0" borderId="2" xfId="43" applyNumberFormat="1" applyFont="1" applyBorder="1" applyAlignment="1">
      <alignment vertical="center"/>
    </xf>
    <xf numFmtId="0" fontId="23" fillId="35" borderId="11" xfId="0" applyFont="1" applyFill="1" applyBorder="1" applyAlignment="1">
      <alignment horizontal="center" vertical="center" wrapText="1"/>
    </xf>
    <xf numFmtId="0" fontId="23" fillId="37" borderId="11" xfId="43" applyFont="1" applyFill="1" applyBorder="1" applyAlignment="1">
      <alignment horizontal="center" vertical="center" wrapText="1"/>
    </xf>
    <xf numFmtId="0" fontId="12" fillId="0" borderId="13" xfId="43" applyFont="1" applyBorder="1"/>
    <xf numFmtId="0" fontId="58" fillId="0" borderId="2" xfId="43" applyFont="1" applyBorder="1" applyAlignment="1">
      <alignment horizontal="center" vertical="center"/>
    </xf>
    <xf numFmtId="164" fontId="12" fillId="0" borderId="0" xfId="43" applyNumberFormat="1" applyFont="1" applyAlignment="1">
      <alignment horizontal="center"/>
    </xf>
    <xf numFmtId="0" fontId="33" fillId="0" borderId="0" xfId="0" applyFont="1" applyAlignment="1">
      <alignment horizontal="center" vertical="center"/>
    </xf>
    <xf numFmtId="0" fontId="33" fillId="0" borderId="0" xfId="0" applyFont="1" applyAlignment="1">
      <alignment horizontal="center" vertical="center" wrapText="1"/>
    </xf>
    <xf numFmtId="0" fontId="23" fillId="37" borderId="11" xfId="43" applyFont="1" applyFill="1" applyBorder="1" applyAlignment="1">
      <alignment horizontal="center" vertical="center"/>
    </xf>
    <xf numFmtId="44" fontId="22" fillId="32" borderId="2" xfId="43" applyNumberFormat="1" applyFont="1" applyFill="1" applyBorder="1" applyAlignment="1">
      <alignment horizontal="center" vertical="center"/>
    </xf>
    <xf numFmtId="44" fontId="22" fillId="31" borderId="2" xfId="43" applyNumberFormat="1" applyFont="1" applyFill="1" applyBorder="1" applyAlignment="1">
      <alignment horizontal="center" vertical="center"/>
    </xf>
    <xf numFmtId="0" fontId="59" fillId="19" borderId="0" xfId="89" applyFont="1" applyFill="1" applyAlignment="1">
      <alignment horizontal="left"/>
    </xf>
    <xf numFmtId="0" fontId="59" fillId="19" borderId="0" xfId="89" applyFont="1" applyFill="1" applyAlignment="1">
      <alignment horizontal="center"/>
    </xf>
    <xf numFmtId="49" fontId="59" fillId="19" borderId="0" xfId="89" applyNumberFormat="1" applyFont="1" applyFill="1" applyAlignment="1">
      <alignment horizontal="center"/>
    </xf>
    <xf numFmtId="0" fontId="60" fillId="0" borderId="0" xfId="89" applyFont="1"/>
    <xf numFmtId="170" fontId="22" fillId="0" borderId="0" xfId="43" applyNumberFormat="1" applyFont="1" applyAlignment="1" applyProtection="1">
      <alignment horizontal="center" vertical="center"/>
      <protection locked="0"/>
    </xf>
    <xf numFmtId="0" fontId="59" fillId="0" borderId="0" xfId="88" applyFont="1"/>
    <xf numFmtId="0" fontId="62" fillId="0" borderId="0" xfId="19" applyFont="1" applyAlignment="1">
      <alignment horizontal="center" vertical="center"/>
    </xf>
    <xf numFmtId="4" fontId="62" fillId="0" borderId="0" xfId="19" applyNumberFormat="1" applyFont="1" applyAlignment="1">
      <alignment horizontal="center" vertical="center"/>
    </xf>
    <xf numFmtId="0" fontId="62" fillId="21" borderId="2" xfId="19" applyFont="1" applyFill="1" applyBorder="1" applyAlignment="1">
      <alignment horizontal="center" vertical="center"/>
    </xf>
    <xf numFmtId="0" fontId="62" fillId="0" borderId="2" xfId="19" applyFont="1" applyBorder="1" applyAlignment="1">
      <alignment horizontal="center" vertical="center"/>
    </xf>
    <xf numFmtId="0" fontId="60" fillId="0" borderId="0" xfId="89" applyFont="1" applyAlignment="1">
      <alignment horizontal="center"/>
    </xf>
    <xf numFmtId="0" fontId="62" fillId="19" borderId="0" xfId="89" applyFont="1" applyFill="1"/>
    <xf numFmtId="49" fontId="60" fillId="19" borderId="0" xfId="89" applyNumberFormat="1" applyFont="1" applyFill="1" applyAlignment="1">
      <alignment horizontal="center"/>
    </xf>
    <xf numFmtId="0" fontId="60" fillId="19" borderId="0" xfId="89" applyFont="1" applyFill="1" applyAlignment="1">
      <alignment horizontal="center"/>
    </xf>
    <xf numFmtId="0" fontId="1" fillId="0" borderId="0" xfId="89" applyFont="1"/>
    <xf numFmtId="0" fontId="62" fillId="40" borderId="41" xfId="0" applyFont="1" applyFill="1" applyBorder="1" applyAlignment="1">
      <alignment horizontal="center" vertical="center"/>
    </xf>
    <xf numFmtId="0" fontId="60" fillId="0" borderId="41" xfId="0" applyFont="1" applyBorder="1" applyAlignment="1">
      <alignment horizontal="center"/>
    </xf>
    <xf numFmtId="172" fontId="60" fillId="0" borderId="41" xfId="0" applyNumberFormat="1" applyFont="1" applyBorder="1" applyAlignment="1">
      <alignment horizontal="center"/>
    </xf>
    <xf numFmtId="170" fontId="60" fillId="0" borderId="41" xfId="0" applyNumberFormat="1" applyFont="1" applyBorder="1" applyAlignment="1">
      <alignment horizontal="center"/>
    </xf>
    <xf numFmtId="0" fontId="60" fillId="19" borderId="0" xfId="89" applyFont="1" applyFill="1" applyAlignment="1">
      <alignment horizontal="left"/>
    </xf>
    <xf numFmtId="170" fontId="62" fillId="19" borderId="41" xfId="89" applyNumberFormat="1" applyFont="1" applyFill="1" applyBorder="1" applyAlignment="1">
      <alignment horizontal="center" vertical="center"/>
    </xf>
    <xf numFmtId="0" fontId="60" fillId="19" borderId="0" xfId="89" applyFont="1" applyFill="1"/>
    <xf numFmtId="0" fontId="62" fillId="40" borderId="44" xfId="89" applyFont="1" applyFill="1" applyBorder="1" applyAlignment="1">
      <alignment horizontal="center" vertical="center"/>
    </xf>
    <xf numFmtId="0" fontId="60" fillId="19" borderId="49" xfId="89" applyFont="1" applyFill="1" applyBorder="1" applyAlignment="1">
      <alignment horizontal="center" vertical="center"/>
    </xf>
    <xf numFmtId="170" fontId="60" fillId="0" borderId="41" xfId="0" applyNumberFormat="1" applyFont="1" applyBorder="1" applyAlignment="1">
      <alignment horizontal="center" vertical="center"/>
    </xf>
    <xf numFmtId="0" fontId="60" fillId="0" borderId="41" xfId="0" applyFont="1" applyBorder="1" applyAlignment="1">
      <alignment horizontal="center" vertical="center" wrapText="1"/>
    </xf>
    <xf numFmtId="170" fontId="60" fillId="0" borderId="45" xfId="0" applyNumberFormat="1" applyFont="1" applyBorder="1" applyAlignment="1">
      <alignment horizontal="center" vertical="center"/>
    </xf>
    <xf numFmtId="0" fontId="60" fillId="0" borderId="44" xfId="0" applyFont="1" applyBorder="1" applyAlignment="1">
      <alignment horizontal="center" vertical="center"/>
    </xf>
    <xf numFmtId="170" fontId="60" fillId="19" borderId="41" xfId="89" applyNumberFormat="1" applyFont="1" applyFill="1" applyBorder="1" applyAlignment="1">
      <alignment horizontal="center" vertical="center"/>
    </xf>
    <xf numFmtId="0" fontId="62" fillId="40" borderId="41" xfId="89" applyFont="1" applyFill="1" applyBorder="1" applyAlignment="1">
      <alignment horizontal="center" vertical="center"/>
    </xf>
    <xf numFmtId="49" fontId="60" fillId="19" borderId="41" xfId="89" applyNumberFormat="1" applyFont="1" applyFill="1" applyBorder="1" applyAlignment="1">
      <alignment horizontal="center" vertical="center"/>
    </xf>
    <xf numFmtId="0" fontId="60" fillId="0" borderId="0" xfId="88" applyFont="1"/>
    <xf numFmtId="0" fontId="62" fillId="20" borderId="2" xfId="39" applyFont="1" applyFill="1" applyBorder="1" applyAlignment="1">
      <alignment horizontal="center" vertical="center" wrapText="1"/>
    </xf>
    <xf numFmtId="164" fontId="62" fillId="24" borderId="2" xfId="39" applyNumberFormat="1" applyFont="1" applyFill="1" applyBorder="1" applyAlignment="1">
      <alignment horizontal="center" vertical="center" wrapText="1"/>
    </xf>
    <xf numFmtId="0" fontId="60" fillId="21" borderId="2" xfId="88" applyFont="1" applyFill="1" applyBorder="1" applyAlignment="1">
      <alignment horizontal="center" vertical="center"/>
    </xf>
    <xf numFmtId="0" fontId="60" fillId="21" borderId="2" xfId="88" applyFont="1" applyFill="1" applyBorder="1" applyAlignment="1">
      <alignment horizontal="center" vertical="center" wrapText="1"/>
    </xf>
    <xf numFmtId="164" fontId="60" fillId="21" borderId="2" xfId="88" applyNumberFormat="1" applyFont="1" applyFill="1" applyBorder="1" applyAlignment="1">
      <alignment horizontal="center" vertical="center" wrapText="1"/>
    </xf>
    <xf numFmtId="0" fontId="62" fillId="0" borderId="0" xfId="88" applyFont="1"/>
    <xf numFmtId="0" fontId="60" fillId="21" borderId="2" xfId="88" applyFont="1" applyFill="1" applyBorder="1"/>
    <xf numFmtId="0" fontId="60" fillId="0" borderId="2" xfId="88" applyFont="1" applyBorder="1"/>
    <xf numFmtId="0" fontId="60" fillId="0" borderId="2" xfId="88" applyFont="1" applyBorder="1" applyAlignment="1">
      <alignment horizontal="center" vertical="center"/>
    </xf>
    <xf numFmtId="0" fontId="60" fillId="0" borderId="2" xfId="88" applyFont="1" applyBorder="1" applyAlignment="1">
      <alignment horizontal="center" vertical="center" wrapText="1"/>
    </xf>
    <xf numFmtId="164" fontId="60" fillId="0" borderId="2" xfId="88" applyNumberFormat="1" applyFont="1" applyBorder="1" applyAlignment="1">
      <alignment horizontal="center" vertical="center" wrapText="1"/>
    </xf>
    <xf numFmtId="0" fontId="60" fillId="0" borderId="0" xfId="24" applyFont="1"/>
    <xf numFmtId="0" fontId="60" fillId="0" borderId="0" xfId="24" applyFont="1" applyAlignment="1">
      <alignment horizontal="center" vertical="center"/>
    </xf>
    <xf numFmtId="0" fontId="60" fillId="0" borderId="20" xfId="24" applyFont="1" applyBorder="1" applyAlignment="1">
      <alignment horizontal="center" vertical="center"/>
    </xf>
    <xf numFmtId="0" fontId="62" fillId="0" borderId="2" xfId="24" applyFont="1" applyBorder="1" applyAlignment="1">
      <alignment horizontal="center" vertical="center"/>
    </xf>
    <xf numFmtId="0" fontId="60" fillId="0" borderId="2" xfId="24" applyFont="1" applyBorder="1" applyAlignment="1">
      <alignment horizontal="center" vertical="center"/>
    </xf>
    <xf numFmtId="20" fontId="60" fillId="0" borderId="2" xfId="24" applyNumberFormat="1" applyFont="1" applyBorder="1" applyAlignment="1">
      <alignment horizontal="center" vertical="center"/>
    </xf>
    <xf numFmtId="0" fontId="60" fillId="0" borderId="67" xfId="24" applyFont="1" applyBorder="1" applyAlignment="1">
      <alignment horizontal="center" vertical="center"/>
    </xf>
    <xf numFmtId="2" fontId="60" fillId="0" borderId="2" xfId="29" applyNumberFormat="1" applyFont="1" applyBorder="1" applyAlignment="1">
      <alignment horizontal="center" vertical="center"/>
    </xf>
    <xf numFmtId="0" fontId="60" fillId="0" borderId="2" xfId="29" applyFont="1" applyBorder="1" applyAlignment="1">
      <alignment horizontal="center" vertical="center"/>
    </xf>
    <xf numFmtId="0" fontId="60" fillId="0" borderId="0" xfId="29" applyFont="1" applyAlignment="1">
      <alignment horizontal="center" vertical="center"/>
    </xf>
    <xf numFmtId="0" fontId="60" fillId="0" borderId="13" xfId="24" applyFont="1" applyBorder="1"/>
    <xf numFmtId="0" fontId="62" fillId="26" borderId="2" xfId="24" applyFont="1" applyFill="1" applyBorder="1"/>
    <xf numFmtId="0" fontId="62" fillId="0" borderId="0" xfId="24" applyFont="1" applyAlignment="1">
      <alignment horizontal="center" vertical="center" textRotation="90"/>
    </xf>
    <xf numFmtId="0" fontId="60" fillId="0" borderId="0" xfId="24" applyFont="1" applyAlignment="1">
      <alignment vertical="center" wrapText="1"/>
    </xf>
    <xf numFmtId="0" fontId="62" fillId="0" borderId="0" xfId="24" applyFont="1" applyAlignment="1">
      <alignment horizontal="center" vertical="center"/>
    </xf>
    <xf numFmtId="9" fontId="62" fillId="0" borderId="0" xfId="24" applyNumberFormat="1" applyFont="1" applyAlignment="1">
      <alignment horizontal="center" vertical="center"/>
    </xf>
    <xf numFmtId="0" fontId="60" fillId="0" borderId="0" xfId="37" applyFont="1"/>
    <xf numFmtId="0" fontId="60" fillId="0" borderId="0" xfId="37" applyFont="1" applyAlignment="1">
      <alignment horizontal="center" vertical="center"/>
    </xf>
    <xf numFmtId="0" fontId="62" fillId="0" borderId="2" xfId="43" applyFont="1" applyBorder="1" applyAlignment="1">
      <alignment horizontal="center" vertical="center" wrapText="1"/>
    </xf>
    <xf numFmtId="0" fontId="62" fillId="0" borderId="0" xfId="37" applyFont="1" applyAlignment="1">
      <alignment horizontal="center" vertical="center"/>
    </xf>
    <xf numFmtId="166" fontId="60" fillId="0" borderId="2" xfId="3" applyFont="1" applyFill="1" applyBorder="1" applyAlignment="1">
      <alignment vertical="center" wrapText="1"/>
    </xf>
    <xf numFmtId="0" fontId="60" fillId="0" borderId="0" xfId="46" applyFont="1" applyAlignment="1">
      <alignment vertical="center" wrapText="1"/>
    </xf>
    <xf numFmtId="0" fontId="60" fillId="0" borderId="0" xfId="46" applyFont="1"/>
    <xf numFmtId="0" fontId="62" fillId="33" borderId="2" xfId="46" applyFont="1" applyFill="1" applyBorder="1" applyAlignment="1">
      <alignment horizontal="center" vertical="center" wrapText="1"/>
    </xf>
    <xf numFmtId="0" fontId="60" fillId="0" borderId="2" xfId="46" applyFont="1" applyBorder="1" applyAlignment="1">
      <alignment horizontal="center" vertical="center" wrapText="1"/>
    </xf>
    <xf numFmtId="2" fontId="60" fillId="0" borderId="2" xfId="46" applyNumberFormat="1" applyFont="1" applyBorder="1" applyAlignment="1">
      <alignment horizontal="center" vertical="center"/>
    </xf>
    <xf numFmtId="44" fontId="60" fillId="0" borderId="2" xfId="46" applyNumberFormat="1" applyFont="1" applyBorder="1" applyAlignment="1">
      <alignment horizontal="center" vertical="center"/>
    </xf>
    <xf numFmtId="0" fontId="62" fillId="16" borderId="8" xfId="46" applyFont="1" applyFill="1" applyBorder="1" applyAlignment="1">
      <alignment horizontal="center" vertical="center"/>
    </xf>
    <xf numFmtId="2" fontId="60" fillId="0" borderId="0" xfId="46" applyNumberFormat="1" applyFont="1" applyAlignment="1">
      <alignment horizontal="center" vertical="center"/>
    </xf>
    <xf numFmtId="44" fontId="60" fillId="0" borderId="0" xfId="46" applyNumberFormat="1" applyFont="1" applyAlignment="1">
      <alignment horizontal="center" vertical="center"/>
    </xf>
    <xf numFmtId="0" fontId="60" fillId="0" borderId="0" xfId="43" applyFont="1"/>
    <xf numFmtId="0" fontId="60" fillId="0" borderId="0" xfId="43" applyFont="1" applyAlignment="1">
      <alignment horizontal="center" vertical="center"/>
    </xf>
    <xf numFmtId="1" fontId="62" fillId="0" borderId="2" xfId="29" applyNumberFormat="1" applyFont="1" applyBorder="1" applyAlignment="1">
      <alignment horizontal="center" vertical="center"/>
    </xf>
    <xf numFmtId="0" fontId="60" fillId="0" borderId="0" xfId="0" applyFont="1"/>
    <xf numFmtId="0" fontId="62" fillId="36" borderId="20" xfId="0" applyFont="1" applyFill="1" applyBorder="1" applyAlignment="1">
      <alignment vertical="center" wrapText="1"/>
    </xf>
    <xf numFmtId="0" fontId="62" fillId="36" borderId="19" xfId="0" applyFont="1" applyFill="1" applyBorder="1" applyAlignment="1">
      <alignment vertical="center" wrapText="1"/>
    </xf>
    <xf numFmtId="0" fontId="68" fillId="36" borderId="2" xfId="0" applyFont="1" applyFill="1" applyBorder="1" applyAlignment="1">
      <alignment horizontal="center" vertical="center" wrapText="1"/>
    </xf>
    <xf numFmtId="0" fontId="60" fillId="35" borderId="2" xfId="0" applyFont="1" applyFill="1" applyBorder="1" applyAlignment="1">
      <alignment horizontal="center" vertical="center"/>
    </xf>
    <xf numFmtId="0" fontId="60" fillId="35" borderId="11" xfId="0" applyFont="1" applyFill="1" applyBorder="1" applyAlignment="1">
      <alignment horizontal="center" vertical="center" wrapText="1"/>
    </xf>
    <xf numFmtId="170" fontId="60" fillId="35" borderId="11" xfId="0" applyNumberFormat="1" applyFont="1" applyFill="1" applyBorder="1" applyAlignment="1">
      <alignment horizontal="center" vertical="center" wrapText="1"/>
    </xf>
    <xf numFmtId="8" fontId="60" fillId="35" borderId="2" xfId="0" applyNumberFormat="1" applyFont="1" applyFill="1" applyBorder="1" applyAlignment="1">
      <alignment horizontal="center" vertical="center"/>
    </xf>
    <xf numFmtId="1" fontId="60" fillId="35" borderId="2" xfId="0" applyNumberFormat="1" applyFont="1" applyFill="1" applyBorder="1" applyAlignment="1">
      <alignment horizontal="center" vertical="center"/>
    </xf>
    <xf numFmtId="44" fontId="60" fillId="35" borderId="2" xfId="0" applyNumberFormat="1" applyFont="1" applyFill="1" applyBorder="1" applyAlignment="1">
      <alignment horizontal="center" vertical="center"/>
    </xf>
    <xf numFmtId="44" fontId="60" fillId="0" borderId="2" xfId="0" applyNumberFormat="1" applyFont="1" applyBorder="1" applyAlignment="1">
      <alignment horizontal="center" vertical="center"/>
    </xf>
    <xf numFmtId="0" fontId="60" fillId="35" borderId="2" xfId="0" applyFont="1" applyFill="1" applyBorder="1" applyAlignment="1">
      <alignment horizontal="center" vertical="center" wrapText="1"/>
    </xf>
    <xf numFmtId="170" fontId="60" fillId="35" borderId="2" xfId="0" applyNumberFormat="1" applyFont="1" applyFill="1" applyBorder="1" applyAlignment="1">
      <alignment horizontal="center" vertical="center" wrapText="1"/>
    </xf>
    <xf numFmtId="170" fontId="60" fillId="35" borderId="31" xfId="0" applyNumberFormat="1" applyFont="1" applyFill="1" applyBorder="1" applyAlignment="1">
      <alignment horizontal="center" vertical="center" wrapText="1"/>
    </xf>
    <xf numFmtId="0" fontId="60" fillId="35" borderId="31" xfId="0" applyFont="1" applyFill="1" applyBorder="1" applyAlignment="1">
      <alignment horizontal="center" vertical="center" wrapText="1"/>
    </xf>
    <xf numFmtId="8" fontId="60" fillId="35" borderId="8" xfId="0" applyNumberFormat="1" applyFont="1" applyFill="1" applyBorder="1" applyAlignment="1">
      <alignment horizontal="center" vertical="center"/>
    </xf>
    <xf numFmtId="1" fontId="60" fillId="35" borderId="8" xfId="0" applyNumberFormat="1" applyFont="1" applyFill="1" applyBorder="1" applyAlignment="1">
      <alignment horizontal="center" vertical="center"/>
    </xf>
    <xf numFmtId="44" fontId="60" fillId="35" borderId="8" xfId="0" applyNumberFormat="1" applyFont="1" applyFill="1" applyBorder="1" applyAlignment="1">
      <alignment horizontal="center" vertical="center"/>
    </xf>
    <xf numFmtId="0" fontId="62" fillId="34" borderId="19" xfId="0" applyFont="1" applyFill="1" applyBorder="1" applyAlignment="1">
      <alignment horizontal="center" vertical="center"/>
    </xf>
    <xf numFmtId="170" fontId="62" fillId="34" borderId="41" xfId="0" applyNumberFormat="1" applyFont="1" applyFill="1" applyBorder="1" applyAlignment="1">
      <alignment horizontal="center" vertical="center"/>
    </xf>
    <xf numFmtId="0" fontId="62" fillId="34" borderId="41" xfId="0" applyFont="1" applyFill="1" applyBorder="1" applyAlignment="1">
      <alignment horizontal="center" vertical="center"/>
    </xf>
    <xf numFmtId="8" fontId="62" fillId="34" borderId="41" xfId="0" applyNumberFormat="1" applyFont="1" applyFill="1" applyBorder="1" applyAlignment="1">
      <alignment vertical="center"/>
    </xf>
    <xf numFmtId="0" fontId="62" fillId="34" borderId="41" xfId="0" applyFont="1" applyFill="1" applyBorder="1" applyAlignment="1">
      <alignment vertical="center"/>
    </xf>
    <xf numFmtId="44" fontId="62" fillId="34" borderId="41" xfId="1" applyFont="1" applyFill="1" applyBorder="1" applyAlignment="1">
      <alignment horizontal="right" vertical="center"/>
    </xf>
    <xf numFmtId="0" fontId="62" fillId="34" borderId="20" xfId="0" applyFont="1" applyFill="1" applyBorder="1" applyAlignment="1">
      <alignment vertical="center"/>
    </xf>
    <xf numFmtId="44" fontId="62" fillId="34" borderId="2" xfId="1" applyFont="1" applyFill="1" applyBorder="1" applyAlignment="1">
      <alignment horizontal="right" vertical="center"/>
    </xf>
    <xf numFmtId="0" fontId="67" fillId="0" borderId="0" xfId="0" applyFont="1"/>
    <xf numFmtId="0" fontId="60" fillId="35" borderId="2" xfId="0" applyFont="1" applyFill="1" applyBorder="1" applyAlignment="1">
      <alignment horizontal="justify" vertical="center" wrapText="1"/>
    </xf>
    <xf numFmtId="0" fontId="67" fillId="0" borderId="0" xfId="0" applyFont="1" applyAlignment="1">
      <alignment horizontal="center" vertical="center"/>
    </xf>
    <xf numFmtId="44" fontId="67" fillId="0" borderId="0" xfId="0" applyNumberFormat="1" applyFont="1"/>
    <xf numFmtId="0" fontId="69" fillId="34" borderId="2" xfId="29" applyFont="1" applyFill="1" applyBorder="1" applyAlignment="1" applyProtection="1">
      <alignment horizontal="center" vertical="center" wrapText="1"/>
      <protection locked="0"/>
    </xf>
    <xf numFmtId="0" fontId="66" fillId="0" borderId="0" xfId="29" applyFont="1" applyAlignment="1" applyProtection="1">
      <alignment wrapText="1"/>
      <protection locked="0"/>
    </xf>
    <xf numFmtId="164" fontId="66" fillId="0" borderId="0" xfId="29" applyNumberFormat="1" applyFont="1" applyAlignment="1" applyProtection="1">
      <alignment wrapText="1"/>
      <protection locked="0"/>
    </xf>
    <xf numFmtId="0" fontId="66" fillId="0" borderId="9" xfId="29" applyFont="1" applyBorder="1" applyAlignment="1" applyProtection="1">
      <alignment horizontal="center" vertical="center" wrapText="1"/>
      <protection locked="0"/>
    </xf>
    <xf numFmtId="0" fontId="60" fillId="0" borderId="41" xfId="0" applyFont="1" applyBorder="1" applyAlignment="1">
      <alignment horizontal="center" vertical="center"/>
    </xf>
    <xf numFmtId="0" fontId="60" fillId="0" borderId="46" xfId="0" applyFont="1" applyBorder="1" applyAlignment="1">
      <alignment horizontal="center" vertical="center" wrapText="1"/>
    </xf>
    <xf numFmtId="0" fontId="60" fillId="0" borderId="41" xfId="43" applyFont="1" applyBorder="1" applyAlignment="1">
      <alignment horizontal="center" vertical="center"/>
    </xf>
    <xf numFmtId="8" fontId="60" fillId="0" borderId="41" xfId="43" applyNumberFormat="1" applyFont="1" applyBorder="1" applyAlignment="1">
      <alignment horizontal="center" vertical="center"/>
    </xf>
    <xf numFmtId="0" fontId="60" fillId="0" borderId="49" xfId="0" applyFont="1" applyBorder="1" applyAlignment="1">
      <alignment horizontal="center" vertical="center"/>
    </xf>
    <xf numFmtId="0" fontId="60" fillId="0" borderId="48" xfId="0" applyFont="1" applyBorder="1" applyAlignment="1">
      <alignment horizontal="center" vertical="center" wrapText="1"/>
    </xf>
    <xf numFmtId="0" fontId="60" fillId="0" borderId="49" xfId="43" applyFont="1" applyBorder="1" applyAlignment="1">
      <alignment horizontal="center" vertical="center"/>
    </xf>
    <xf numFmtId="8" fontId="60" fillId="0" borderId="49" xfId="43" applyNumberFormat="1" applyFont="1" applyBorder="1" applyAlignment="1">
      <alignment horizontal="center" vertical="center"/>
    </xf>
    <xf numFmtId="170" fontId="60" fillId="0" borderId="41" xfId="43" applyNumberFormat="1" applyFont="1" applyBorder="1" applyAlignment="1">
      <alignment horizontal="center" vertical="center"/>
    </xf>
    <xf numFmtId="0" fontId="60" fillId="0" borderId="49" xfId="0" applyFont="1" applyBorder="1" applyAlignment="1">
      <alignment horizontal="center" vertical="center" wrapText="1"/>
    </xf>
    <xf numFmtId="170" fontId="60" fillId="0" borderId="49" xfId="43" applyNumberFormat="1" applyFont="1" applyBorder="1" applyAlignment="1">
      <alignment horizontal="center" vertical="center"/>
    </xf>
    <xf numFmtId="170" fontId="60" fillId="0" borderId="41" xfId="43" applyNumberFormat="1" applyFont="1" applyBorder="1"/>
    <xf numFmtId="0" fontId="62" fillId="28" borderId="2" xfId="43" applyFont="1" applyFill="1" applyBorder="1" applyAlignment="1">
      <alignment horizontal="center" vertical="center"/>
    </xf>
    <xf numFmtId="0" fontId="62" fillId="0" borderId="3" xfId="43" applyFont="1" applyBorder="1" applyAlignment="1">
      <alignment horizontal="right" vertical="center" wrapText="1"/>
    </xf>
    <xf numFmtId="0" fontId="62" fillId="0" borderId="0" xfId="43" applyFont="1" applyAlignment="1">
      <alignment horizontal="right" vertical="center" wrapText="1"/>
    </xf>
    <xf numFmtId="0" fontId="60" fillId="0" borderId="2" xfId="43" applyFont="1" applyBorder="1" applyAlignment="1">
      <alignment horizontal="center" vertical="center"/>
    </xf>
    <xf numFmtId="0" fontId="60" fillId="18" borderId="2" xfId="39" applyFont="1" applyFill="1" applyBorder="1" applyAlignment="1">
      <alignment horizontal="center" vertical="center" wrapText="1"/>
    </xf>
    <xf numFmtId="0" fontId="60" fillId="18" borderId="8" xfId="39" applyFont="1" applyFill="1" applyBorder="1" applyAlignment="1">
      <alignment horizontal="center" vertical="center" wrapText="1"/>
    </xf>
    <xf numFmtId="10" fontId="60" fillId="0" borderId="19" xfId="55" applyNumberFormat="1" applyFont="1" applyBorder="1" applyAlignment="1">
      <alignment horizontal="center" vertical="center" shrinkToFit="1"/>
    </xf>
    <xf numFmtId="0" fontId="60" fillId="0" borderId="19" xfId="55" applyFont="1" applyBorder="1" applyAlignment="1">
      <alignment horizontal="center" vertical="center" shrinkToFit="1"/>
    </xf>
    <xf numFmtId="0" fontId="60" fillId="0" borderId="20" xfId="55" applyFont="1" applyBorder="1" applyAlignment="1">
      <alignment horizontal="center" vertical="center" shrinkToFit="1"/>
    </xf>
    <xf numFmtId="10" fontId="62" fillId="0" borderId="2" xfId="32" applyNumberFormat="1" applyFont="1" applyBorder="1" applyAlignment="1">
      <alignment horizontal="center" vertical="center"/>
    </xf>
    <xf numFmtId="0" fontId="60" fillId="0" borderId="0" xfId="59" applyFont="1">
      <alignment vertical="center"/>
    </xf>
    <xf numFmtId="0" fontId="60" fillId="0" borderId="0" xfId="61" applyNumberFormat="1" applyFont="1" applyFill="1" applyBorder="1" applyAlignment="1">
      <alignment vertical="center"/>
    </xf>
    <xf numFmtId="0" fontId="60" fillId="0" borderId="0" xfId="5" applyNumberFormat="1" applyFont="1" applyFill="1" applyBorder="1" applyAlignment="1">
      <alignment vertical="center"/>
    </xf>
    <xf numFmtId="0" fontId="60" fillId="0" borderId="0" xfId="59" applyFont="1" applyAlignment="1">
      <alignment vertical="center" shrinkToFit="1"/>
    </xf>
    <xf numFmtId="0" fontId="60" fillId="0" borderId="0" xfId="59" applyFont="1" applyAlignment="1">
      <alignment horizontal="left" vertical="center" shrinkToFit="1"/>
    </xf>
    <xf numFmtId="0" fontId="60" fillId="0" borderId="0" xfId="59" applyFont="1" applyAlignment="1">
      <alignment horizontal="center" vertical="center" shrinkToFit="1"/>
    </xf>
    <xf numFmtId="10" fontId="60" fillId="0" borderId="0" xfId="59" applyNumberFormat="1" applyFont="1">
      <alignment vertical="center"/>
    </xf>
    <xf numFmtId="10" fontId="62" fillId="0" borderId="0" xfId="59" applyNumberFormat="1" applyFont="1" applyAlignment="1">
      <alignment horizontal="center" vertical="center"/>
    </xf>
    <xf numFmtId="10" fontId="62" fillId="0" borderId="0" xfId="59" applyNumberFormat="1" applyFont="1" applyAlignment="1">
      <alignment horizontal="center"/>
    </xf>
    <xf numFmtId="10" fontId="60" fillId="0" borderId="0" xfId="59" applyNumberFormat="1" applyFont="1" applyAlignment="1">
      <alignment horizontal="center"/>
    </xf>
    <xf numFmtId="0" fontId="60" fillId="0" borderId="2" xfId="39" applyFont="1" applyBorder="1" applyAlignment="1">
      <alignment horizontal="center" vertical="center" wrapText="1"/>
    </xf>
    <xf numFmtId="0" fontId="60" fillId="0" borderId="0" xfId="32" applyFont="1" applyAlignment="1">
      <alignment horizontal="center" wrapText="1"/>
    </xf>
    <xf numFmtId="0" fontId="60" fillId="0" borderId="0" xfId="32" applyFont="1" applyAlignment="1">
      <alignment vertical="center" wrapText="1"/>
    </xf>
    <xf numFmtId="0" fontId="60" fillId="0" borderId="21" xfId="59" applyFont="1" applyBorder="1" applyAlignment="1">
      <alignment vertical="center" shrinkToFit="1"/>
    </xf>
    <xf numFmtId="0" fontId="60" fillId="0" borderId="1" xfId="55" applyFont="1" applyBorder="1">
      <alignment vertical="center"/>
    </xf>
    <xf numFmtId="0" fontId="60" fillId="0" borderId="1" xfId="55" applyFont="1" applyBorder="1" applyAlignment="1">
      <alignment vertical="center" shrinkToFit="1"/>
    </xf>
    <xf numFmtId="0" fontId="60" fillId="0" borderId="40" xfId="55" applyFont="1" applyBorder="1" applyAlignment="1">
      <alignment vertical="center" shrinkToFit="1"/>
    </xf>
    <xf numFmtId="10" fontId="60" fillId="0" borderId="0" xfId="59" applyNumberFormat="1" applyFont="1" applyAlignment="1">
      <alignment horizontal="center" vertical="center"/>
    </xf>
    <xf numFmtId="0" fontId="60" fillId="0" borderId="3" xfId="59" applyFont="1" applyBorder="1" applyAlignment="1">
      <alignment horizontal="justify" vertical="center" wrapText="1"/>
    </xf>
    <xf numFmtId="0" fontId="60" fillId="0" borderId="0" xfId="59" applyFont="1" applyAlignment="1">
      <alignment horizontal="justify" vertical="center" wrapText="1"/>
    </xf>
    <xf numFmtId="0" fontId="60" fillId="0" borderId="38" xfId="59" applyFont="1" applyBorder="1" applyAlignment="1">
      <alignment horizontal="justify" vertical="center" wrapText="1"/>
    </xf>
    <xf numFmtId="0" fontId="60" fillId="7" borderId="1" xfId="67" applyNumberFormat="1" applyFont="1" applyFill="1" applyBorder="1" applyAlignment="1">
      <alignment horizontal="center" vertical="center"/>
    </xf>
    <xf numFmtId="0" fontId="60" fillId="7" borderId="1" xfId="55" applyFont="1" applyFill="1" applyBorder="1" applyAlignment="1">
      <alignment horizontal="center" vertical="center"/>
    </xf>
    <xf numFmtId="0" fontId="60" fillId="0" borderId="1" xfId="5" applyNumberFormat="1" applyFont="1" applyFill="1" applyBorder="1" applyAlignment="1">
      <alignment horizontal="center" vertical="center"/>
    </xf>
    <xf numFmtId="0" fontId="60" fillId="0" borderId="1" xfId="55" applyFont="1" applyBorder="1" applyAlignment="1">
      <alignment horizontal="center" vertical="center"/>
    </xf>
    <xf numFmtId="0" fontId="60" fillId="0" borderId="1" xfId="59" applyFont="1" applyBorder="1">
      <alignment vertical="center"/>
    </xf>
    <xf numFmtId="0" fontId="60" fillId="0" borderId="40" xfId="59" applyFont="1" applyBorder="1">
      <alignment vertical="center"/>
    </xf>
    <xf numFmtId="10" fontId="60" fillId="7" borderId="19" xfId="55" applyNumberFormat="1" applyFont="1" applyFill="1" applyBorder="1" applyAlignment="1">
      <alignment horizontal="center" vertical="center"/>
    </xf>
    <xf numFmtId="0" fontId="60" fillId="0" borderId="19" xfId="55" applyFont="1" applyBorder="1" applyAlignment="1">
      <alignment horizontal="center" vertical="center"/>
    </xf>
    <xf numFmtId="10" fontId="60" fillId="7" borderId="19" xfId="55" applyNumberFormat="1" applyFont="1" applyFill="1" applyBorder="1" applyAlignment="1">
      <alignment horizontal="left" vertical="center"/>
    </xf>
    <xf numFmtId="0" fontId="60" fillId="0" borderId="9" xfId="59" applyFont="1" applyBorder="1">
      <alignment vertical="center"/>
    </xf>
    <xf numFmtId="0" fontId="60" fillId="0" borderId="19" xfId="55" applyFont="1" applyBorder="1">
      <alignment vertical="center"/>
    </xf>
    <xf numFmtId="0" fontId="60" fillId="0" borderId="20" xfId="55" applyFont="1" applyBorder="1" applyAlignment="1">
      <alignment horizontal="left" vertical="center"/>
    </xf>
    <xf numFmtId="0" fontId="62" fillId="0" borderId="9" xfId="59" applyFont="1" applyBorder="1">
      <alignment vertical="center"/>
    </xf>
    <xf numFmtId="0" fontId="62" fillId="0" borderId="19" xfId="55" applyFont="1" applyBorder="1">
      <alignment vertical="center"/>
    </xf>
    <xf numFmtId="10" fontId="62" fillId="0" borderId="19" xfId="59" applyNumberFormat="1" applyFont="1" applyBorder="1" applyAlignment="1">
      <alignment horizontal="left" vertical="center" shrinkToFit="1"/>
    </xf>
    <xf numFmtId="0" fontId="62" fillId="0" borderId="19" xfId="55" applyFont="1" applyBorder="1" applyAlignment="1">
      <alignment horizontal="center" vertical="center" shrinkToFit="1"/>
    </xf>
    <xf numFmtId="0" fontId="62" fillId="0" borderId="20" xfId="55" applyFont="1" applyBorder="1" applyAlignment="1">
      <alignment horizontal="center" vertical="center" shrinkToFit="1"/>
    </xf>
    <xf numFmtId="0" fontId="60" fillId="0" borderId="2" xfId="59" applyFont="1" applyBorder="1" applyAlignment="1">
      <alignment horizontal="center" vertical="center"/>
    </xf>
    <xf numFmtId="0" fontId="60" fillId="0" borderId="1" xfId="55" applyFont="1" applyBorder="1" applyAlignment="1">
      <alignment horizontal="justify" vertical="center" wrapText="1"/>
    </xf>
    <xf numFmtId="0" fontId="60" fillId="0" borderId="40" xfId="55" applyFont="1" applyBorder="1" applyAlignment="1">
      <alignment horizontal="justify" vertical="center" wrapText="1"/>
    </xf>
    <xf numFmtId="10" fontId="60" fillId="0" borderId="1" xfId="61" applyNumberFormat="1" applyFont="1" applyFill="1" applyBorder="1" applyAlignment="1">
      <alignment vertical="center"/>
    </xf>
    <xf numFmtId="10" fontId="60" fillId="0" borderId="40" xfId="61" applyNumberFormat="1" applyFont="1" applyFill="1" applyBorder="1" applyAlignment="1">
      <alignment vertical="center"/>
    </xf>
    <xf numFmtId="10" fontId="60" fillId="0" borderId="19" xfId="63" applyNumberFormat="1" applyFont="1" applyBorder="1" applyAlignment="1">
      <alignment vertical="center"/>
    </xf>
    <xf numFmtId="10" fontId="60" fillId="0" borderId="19" xfId="61" applyNumberFormat="1" applyFont="1" applyFill="1" applyBorder="1" applyAlignment="1">
      <alignment vertical="center"/>
    </xf>
    <xf numFmtId="10" fontId="60" fillId="0" borderId="20" xfId="61" applyNumberFormat="1" applyFont="1" applyFill="1" applyBorder="1" applyAlignment="1">
      <alignment vertical="center"/>
    </xf>
    <xf numFmtId="0" fontId="62" fillId="0" borderId="13" xfId="55" applyFont="1" applyBorder="1">
      <alignment vertical="center"/>
    </xf>
    <xf numFmtId="0" fontId="60" fillId="0" borderId="21" xfId="67" applyNumberFormat="1" applyFont="1" applyFill="1" applyBorder="1" applyAlignment="1">
      <alignment horizontal="center" vertical="center"/>
    </xf>
    <xf numFmtId="0" fontId="60" fillId="0" borderId="39" xfId="59" applyFont="1" applyBorder="1">
      <alignment vertical="center"/>
    </xf>
    <xf numFmtId="10" fontId="60" fillId="7" borderId="1" xfId="55" applyNumberFormat="1" applyFont="1" applyFill="1" applyBorder="1">
      <alignment vertical="center"/>
    </xf>
    <xf numFmtId="0" fontId="60" fillId="0" borderId="0" xfId="55" applyFont="1" applyAlignment="1">
      <alignment horizontal="justify" vertical="center" wrapText="1"/>
    </xf>
    <xf numFmtId="0" fontId="60" fillId="0" borderId="38" xfId="55" applyFont="1" applyBorder="1" applyAlignment="1">
      <alignment horizontal="justify" vertical="center" wrapText="1"/>
    </xf>
    <xf numFmtId="10" fontId="62" fillId="0" borderId="19" xfId="55" applyNumberFormat="1" applyFont="1" applyBorder="1" applyAlignment="1">
      <alignment horizontal="center" vertical="center" shrinkToFit="1"/>
    </xf>
    <xf numFmtId="10" fontId="62" fillId="0" borderId="20" xfId="55" applyNumberFormat="1" applyFont="1" applyBorder="1" applyAlignment="1">
      <alignment horizontal="center" vertical="center" shrinkToFit="1"/>
    </xf>
    <xf numFmtId="0" fontId="60" fillId="0" borderId="0" xfId="55" applyFont="1">
      <alignment vertical="center"/>
    </xf>
    <xf numFmtId="0" fontId="60" fillId="0" borderId="0" xfId="55" applyFont="1" applyAlignment="1">
      <alignment vertical="center" shrinkToFit="1"/>
    </xf>
    <xf numFmtId="0" fontId="60" fillId="0" borderId="38" xfId="55" applyFont="1" applyBorder="1" applyAlignment="1">
      <alignment vertical="center" shrinkToFit="1"/>
    </xf>
    <xf numFmtId="2" fontId="60" fillId="7" borderId="1" xfId="67" applyNumberFormat="1" applyFont="1" applyFill="1" applyBorder="1" applyAlignment="1">
      <alignment horizontal="center" vertical="center"/>
    </xf>
    <xf numFmtId="0" fontId="60" fillId="0" borderId="0" xfId="59" applyFont="1" applyAlignment="1">
      <alignment horizontal="center" vertical="center"/>
    </xf>
    <xf numFmtId="10" fontId="60" fillId="0" borderId="19" xfId="55" applyNumberFormat="1" applyFont="1" applyBorder="1" applyAlignment="1">
      <alignment horizontal="center" vertical="center"/>
    </xf>
    <xf numFmtId="10" fontId="60" fillId="0" borderId="19" xfId="55" applyNumberFormat="1" applyFont="1" applyBorder="1" applyAlignment="1">
      <alignment horizontal="left" vertical="center"/>
    </xf>
    <xf numFmtId="0" fontId="60" fillId="0" borderId="19" xfId="55" applyFont="1" applyBorder="1" applyAlignment="1">
      <alignment horizontal="left" vertical="center"/>
    </xf>
    <xf numFmtId="10" fontId="60" fillId="7" borderId="19" xfId="55" applyNumberFormat="1" applyFont="1" applyFill="1" applyBorder="1">
      <alignment vertical="center"/>
    </xf>
    <xf numFmtId="49" fontId="60" fillId="0" borderId="19" xfId="55" applyNumberFormat="1" applyFont="1" applyBorder="1" applyAlignment="1">
      <alignment horizontal="center" vertical="center"/>
    </xf>
    <xf numFmtId="0" fontId="62" fillId="23" borderId="2" xfId="4" applyNumberFormat="1" applyFont="1" applyFill="1" applyBorder="1" applyAlignment="1">
      <alignment horizontal="center" vertical="center"/>
    </xf>
    <xf numFmtId="10" fontId="60" fillId="0" borderId="0" xfId="59" applyNumberFormat="1" applyFont="1" applyAlignment="1">
      <alignment vertical="center" shrinkToFit="1"/>
    </xf>
    <xf numFmtId="0" fontId="60" fillId="0" borderId="0" xfId="91" applyFont="1" applyAlignment="1">
      <alignment horizontal="center" vertical="center" wrapText="1"/>
    </xf>
    <xf numFmtId="0" fontId="60" fillId="0" borderId="0" xfId="91" applyFont="1" applyAlignment="1">
      <alignment horizontal="left" vertical="center" wrapText="1"/>
    </xf>
    <xf numFmtId="10" fontId="60" fillId="0" borderId="0" xfId="91" applyNumberFormat="1" applyFont="1" applyAlignment="1">
      <alignment horizontal="center" vertical="center" wrapText="1"/>
    </xf>
    <xf numFmtId="44" fontId="60" fillId="0" borderId="0" xfId="91" applyNumberFormat="1" applyFont="1" applyAlignment="1">
      <alignment horizontal="center" vertical="center" wrapText="1"/>
    </xf>
    <xf numFmtId="4" fontId="60" fillId="0" borderId="0" xfId="91" applyNumberFormat="1" applyFont="1"/>
    <xf numFmtId="0" fontId="60" fillId="0" borderId="0" xfId="91" applyFont="1"/>
    <xf numFmtId="4" fontId="60" fillId="0" borderId="0" xfId="91" applyNumberFormat="1" applyFont="1" applyAlignment="1">
      <alignment wrapText="1"/>
    </xf>
    <xf numFmtId="0" fontId="62" fillId="36" borderId="2" xfId="91" applyFont="1" applyFill="1" applyBorder="1" applyAlignment="1">
      <alignment horizontal="center" vertical="center" wrapText="1"/>
    </xf>
    <xf numFmtId="10" fontId="62" fillId="36" borderId="2" xfId="91" applyNumberFormat="1" applyFont="1" applyFill="1" applyBorder="1" applyAlignment="1">
      <alignment horizontal="center" vertical="center" wrapText="1"/>
    </xf>
    <xf numFmtId="44" fontId="62" fillId="36" borderId="2" xfId="91" applyNumberFormat="1" applyFont="1" applyFill="1" applyBorder="1" applyAlignment="1">
      <alignment horizontal="center" vertical="center" wrapText="1"/>
    </xf>
    <xf numFmtId="0" fontId="76" fillId="39" borderId="2" xfId="91" applyFont="1" applyFill="1" applyBorder="1" applyAlignment="1">
      <alignment horizontal="center" vertical="center" wrapText="1"/>
    </xf>
    <xf numFmtId="0" fontId="62" fillId="39" borderId="2" xfId="91" applyFont="1" applyFill="1" applyBorder="1" applyAlignment="1">
      <alignment horizontal="center" vertical="center" wrapText="1"/>
    </xf>
    <xf numFmtId="0" fontId="60" fillId="39" borderId="2" xfId="91" applyFont="1" applyFill="1" applyBorder="1" applyAlignment="1">
      <alignment vertical="center" wrapText="1"/>
    </xf>
    <xf numFmtId="44" fontId="60" fillId="39" borderId="2" xfId="91" applyNumberFormat="1" applyFont="1" applyFill="1" applyBorder="1" applyAlignment="1">
      <alignment vertical="center" wrapText="1"/>
    </xf>
    <xf numFmtId="0" fontId="60" fillId="21" borderId="2" xfId="91" applyFont="1" applyFill="1" applyBorder="1" applyAlignment="1">
      <alignment horizontal="center" vertical="center" wrapText="1"/>
    </xf>
    <xf numFmtId="0" fontId="60" fillId="21" borderId="2" xfId="91" applyFont="1" applyFill="1" applyBorder="1" applyAlignment="1">
      <alignment horizontal="left" vertical="center" wrapText="1"/>
    </xf>
    <xf numFmtId="10" fontId="60" fillId="21" borderId="2" xfId="91" applyNumberFormat="1" applyFont="1" applyFill="1" applyBorder="1" applyAlignment="1">
      <alignment horizontal="center" vertical="center" wrapText="1"/>
    </xf>
    <xf numFmtId="44" fontId="60" fillId="21" borderId="2" xfId="91" applyNumberFormat="1" applyFont="1" applyFill="1" applyBorder="1" applyAlignment="1">
      <alignment horizontal="center" vertical="center" wrapText="1"/>
    </xf>
    <xf numFmtId="0" fontId="60" fillId="0" borderId="2" xfId="91" applyFont="1" applyBorder="1" applyAlignment="1">
      <alignment horizontal="center" vertical="center" wrapText="1"/>
    </xf>
    <xf numFmtId="0" fontId="60" fillId="0" borderId="2" xfId="91" applyFont="1" applyBorder="1" applyAlignment="1">
      <alignment horizontal="left" vertical="center" wrapText="1"/>
    </xf>
    <xf numFmtId="10" fontId="60" fillId="0" borderId="2" xfId="91" applyNumberFormat="1" applyFont="1" applyBorder="1" applyAlignment="1">
      <alignment horizontal="center" vertical="center" wrapText="1"/>
    </xf>
    <xf numFmtId="44" fontId="60" fillId="0" borderId="2" xfId="91" applyNumberFormat="1" applyFont="1" applyBorder="1" applyAlignment="1">
      <alignment horizontal="center" vertical="center" wrapText="1"/>
    </xf>
    <xf numFmtId="0" fontId="59" fillId="0" borderId="41" xfId="92" applyFont="1" applyBorder="1" applyAlignment="1">
      <alignment horizontal="right" vertical="center" wrapText="1"/>
    </xf>
    <xf numFmtId="164" fontId="71" fillId="0" borderId="2" xfId="91" applyNumberFormat="1" applyFont="1" applyBorder="1" applyAlignment="1">
      <alignment horizontal="center" vertical="center" wrapText="1"/>
    </xf>
    <xf numFmtId="10" fontId="71" fillId="0" borderId="2" xfId="91" applyNumberFormat="1" applyFont="1" applyBorder="1" applyAlignment="1">
      <alignment horizontal="center" vertical="center" wrapText="1"/>
    </xf>
    <xf numFmtId="44" fontId="71" fillId="0" borderId="2" xfId="91" applyNumberFormat="1" applyFont="1" applyBorder="1" applyAlignment="1">
      <alignment horizontal="center" vertical="center" wrapText="1"/>
    </xf>
    <xf numFmtId="0" fontId="62" fillId="38" borderId="2" xfId="91" applyFont="1" applyFill="1" applyBorder="1" applyAlignment="1">
      <alignment vertical="center" wrapText="1"/>
    </xf>
    <xf numFmtId="44" fontId="62" fillId="38" borderId="2" xfId="91" applyNumberFormat="1" applyFont="1" applyFill="1" applyBorder="1" applyAlignment="1">
      <alignment vertical="center" wrapText="1"/>
    </xf>
    <xf numFmtId="0" fontId="60" fillId="0" borderId="2" xfId="93" applyFont="1" applyBorder="1" applyAlignment="1">
      <alignment horizontal="center" vertical="center" wrapText="1"/>
    </xf>
    <xf numFmtId="0" fontId="77" fillId="0" borderId="2" xfId="93" applyFont="1" applyBorder="1" applyAlignment="1">
      <alignment horizontal="center" vertical="center" wrapText="1"/>
    </xf>
    <xf numFmtId="0" fontId="75" fillId="0" borderId="2" xfId="93" applyFont="1" applyBorder="1" applyAlignment="1">
      <alignment horizontal="center" vertical="center" wrapText="1"/>
    </xf>
    <xf numFmtId="44" fontId="60" fillId="0" borderId="2" xfId="91" applyNumberFormat="1" applyFont="1" applyBorder="1" applyAlignment="1">
      <alignment vertical="center" wrapText="1"/>
    </xf>
    <xf numFmtId="0" fontId="60" fillId="39" borderId="2" xfId="91" applyFont="1" applyFill="1" applyBorder="1" applyAlignment="1">
      <alignment horizontal="right" vertical="center" wrapText="1"/>
    </xf>
    <xf numFmtId="10" fontId="60" fillId="39" borderId="2" xfId="91" applyNumberFormat="1" applyFont="1" applyFill="1" applyBorder="1" applyAlignment="1">
      <alignment horizontal="center" vertical="center" wrapText="1"/>
    </xf>
    <xf numFmtId="44" fontId="60" fillId="39" borderId="2" xfId="91" applyNumberFormat="1" applyFont="1" applyFill="1" applyBorder="1" applyAlignment="1">
      <alignment horizontal="center" vertical="center" wrapText="1"/>
    </xf>
    <xf numFmtId="0" fontId="75" fillId="22" borderId="2" xfId="91" applyFont="1" applyFill="1" applyBorder="1" applyAlignment="1">
      <alignment vertical="center" wrapText="1"/>
    </xf>
    <xf numFmtId="0" fontId="60" fillId="38" borderId="2" xfId="91" applyFont="1" applyFill="1" applyBorder="1" applyAlignment="1">
      <alignment vertical="center" wrapText="1"/>
    </xf>
    <xf numFmtId="44" fontId="60" fillId="38" borderId="2" xfId="91" applyNumberFormat="1" applyFont="1" applyFill="1" applyBorder="1" applyAlignment="1">
      <alignment vertical="center" wrapText="1"/>
    </xf>
    <xf numFmtId="0" fontId="60" fillId="18" borderId="2" xfId="93" applyFont="1" applyFill="1" applyBorder="1" applyAlignment="1">
      <alignment horizontal="center" vertical="center" wrapText="1"/>
    </xf>
    <xf numFmtId="0" fontId="60" fillId="18" borderId="2" xfId="93" applyFont="1" applyFill="1" applyBorder="1" applyAlignment="1">
      <alignment horizontal="left" vertical="center" wrapText="1"/>
    </xf>
    <xf numFmtId="10" fontId="60" fillId="18" borderId="2" xfId="91" applyNumberFormat="1" applyFont="1" applyFill="1" applyBorder="1" applyAlignment="1">
      <alignment horizontal="center" vertical="center" wrapText="1"/>
    </xf>
    <xf numFmtId="44" fontId="60" fillId="18" borderId="2" xfId="91" applyNumberFormat="1" applyFont="1" applyFill="1" applyBorder="1" applyAlignment="1">
      <alignment horizontal="center" vertical="center" wrapText="1"/>
    </xf>
    <xf numFmtId="44" fontId="72" fillId="18" borderId="2" xfId="91" applyNumberFormat="1" applyFont="1" applyFill="1" applyBorder="1" applyAlignment="1">
      <alignment horizontal="center" vertical="center" wrapText="1"/>
    </xf>
    <xf numFmtId="0" fontId="59" fillId="0" borderId="2" xfId="43" applyFont="1" applyBorder="1" applyAlignment="1">
      <alignment horizontal="left" vertical="center"/>
    </xf>
    <xf numFmtId="44" fontId="59" fillId="18" borderId="2" xfId="91" applyNumberFormat="1" applyFont="1" applyFill="1" applyBorder="1" applyAlignment="1">
      <alignment horizontal="center" vertical="center" wrapText="1"/>
    </xf>
    <xf numFmtId="0" fontId="75" fillId="38" borderId="2" xfId="91" applyFont="1" applyFill="1" applyBorder="1" applyAlignment="1">
      <alignment vertical="center" wrapText="1"/>
    </xf>
    <xf numFmtId="0" fontId="75" fillId="38" borderId="2" xfId="91" applyFont="1" applyFill="1" applyBorder="1" applyAlignment="1">
      <alignment horizontal="right" vertical="center" wrapText="1"/>
    </xf>
    <xf numFmtId="10" fontId="60" fillId="38" borderId="2" xfId="91" applyNumberFormat="1" applyFont="1" applyFill="1" applyBorder="1" applyAlignment="1">
      <alignment horizontal="center" vertical="center" wrapText="1"/>
    </xf>
    <xf numFmtId="44" fontId="75" fillId="38" borderId="2" xfId="91" applyNumberFormat="1" applyFont="1" applyFill="1" applyBorder="1" applyAlignment="1">
      <alignment horizontal="center" vertical="center" wrapText="1"/>
    </xf>
    <xf numFmtId="0" fontId="60" fillId="22" borderId="2" xfId="91" applyFont="1" applyFill="1" applyBorder="1" applyAlignment="1">
      <alignment vertical="center" wrapText="1"/>
    </xf>
    <xf numFmtId="0" fontId="60" fillId="18" borderId="2" xfId="91" applyFont="1" applyFill="1" applyBorder="1" applyAlignment="1">
      <alignment horizontal="center" vertical="center" wrapText="1"/>
    </xf>
    <xf numFmtId="0" fontId="60" fillId="18" borderId="2" xfId="91" applyFont="1" applyFill="1" applyBorder="1" applyAlignment="1">
      <alignment horizontal="left" vertical="center" wrapText="1"/>
    </xf>
    <xf numFmtId="10" fontId="59" fillId="18" borderId="2" xfId="91" applyNumberFormat="1" applyFont="1" applyFill="1" applyBorder="1" applyAlignment="1">
      <alignment horizontal="center" vertical="center" wrapText="1"/>
    </xf>
    <xf numFmtId="0" fontId="62" fillId="18" borderId="2" xfId="91" applyFont="1" applyFill="1" applyBorder="1" applyAlignment="1">
      <alignment horizontal="left" vertical="center" wrapText="1"/>
    </xf>
    <xf numFmtId="0" fontId="59" fillId="0" borderId="2" xfId="91" applyFont="1" applyBorder="1" applyAlignment="1">
      <alignment horizontal="center" vertical="center" wrapText="1"/>
    </xf>
    <xf numFmtId="0" fontId="59" fillId="0" borderId="2" xfId="91" applyFont="1" applyBorder="1" applyAlignment="1">
      <alignment horizontal="left" vertical="center" wrapText="1"/>
    </xf>
    <xf numFmtId="10" fontId="59" fillId="0" borderId="2" xfId="91" applyNumberFormat="1" applyFont="1" applyBorder="1" applyAlignment="1">
      <alignment horizontal="center" vertical="center" wrapText="1"/>
    </xf>
    <xf numFmtId="0" fontId="77" fillId="0" borderId="2" xfId="91" applyFont="1" applyBorder="1" applyAlignment="1">
      <alignment horizontal="left" vertical="center" wrapText="1"/>
    </xf>
    <xf numFmtId="0" fontId="60" fillId="0" borderId="8" xfId="91" applyFont="1" applyBorder="1" applyAlignment="1">
      <alignment horizontal="center" vertical="center" wrapText="1"/>
    </xf>
    <xf numFmtId="0" fontId="77" fillId="0" borderId="8" xfId="91" applyFont="1" applyBorder="1" applyAlignment="1">
      <alignment horizontal="left" vertical="center" wrapText="1"/>
    </xf>
    <xf numFmtId="10" fontId="60" fillId="0" borderId="8" xfId="91" applyNumberFormat="1" applyFont="1" applyBorder="1" applyAlignment="1">
      <alignment horizontal="center" vertical="center" wrapText="1"/>
    </xf>
    <xf numFmtId="0" fontId="60" fillId="0" borderId="37" xfId="91" applyFont="1" applyBorder="1" applyAlignment="1">
      <alignment horizontal="center" vertical="center" wrapText="1"/>
    </xf>
    <xf numFmtId="0" fontId="60" fillId="0" borderId="37" xfId="91" applyFont="1" applyBorder="1" applyAlignment="1">
      <alignment horizontal="left" vertical="center" wrapText="1"/>
    </xf>
    <xf numFmtId="10" fontId="60" fillId="0" borderId="37" xfId="91" applyNumberFormat="1" applyFont="1" applyBorder="1" applyAlignment="1">
      <alignment horizontal="center" vertical="center" wrapText="1"/>
    </xf>
    <xf numFmtId="44" fontId="60" fillId="0" borderId="37" xfId="91" applyNumberFormat="1" applyFont="1" applyBorder="1" applyAlignment="1">
      <alignment horizontal="center" vertical="center" wrapText="1"/>
    </xf>
    <xf numFmtId="0" fontId="59" fillId="0" borderId="42" xfId="43" applyFont="1" applyBorder="1" applyAlignment="1">
      <alignment horizontal="center" vertical="center" wrapText="1"/>
    </xf>
    <xf numFmtId="0" fontId="59" fillId="0" borderId="43" xfId="43" applyFont="1" applyBorder="1" applyAlignment="1">
      <alignment horizontal="left" vertical="center" wrapText="1"/>
    </xf>
    <xf numFmtId="10" fontId="59" fillId="0" borderId="44" xfId="43" applyNumberFormat="1" applyFont="1" applyBorder="1" applyAlignment="1">
      <alignment horizontal="center" vertical="center" wrapText="1"/>
    </xf>
    <xf numFmtId="44" fontId="60" fillId="0" borderId="11" xfId="91" applyNumberFormat="1" applyFont="1" applyBorder="1" applyAlignment="1">
      <alignment horizontal="center" vertical="center" wrapText="1"/>
    </xf>
    <xf numFmtId="0" fontId="60" fillId="18" borderId="8" xfId="91" applyFont="1" applyFill="1" applyBorder="1" applyAlignment="1">
      <alignment horizontal="center" vertical="center" wrapText="1"/>
    </xf>
    <xf numFmtId="0" fontId="60" fillId="18" borderId="8" xfId="91" applyFont="1" applyFill="1" applyBorder="1" applyAlignment="1">
      <alignment horizontal="left" vertical="center" wrapText="1"/>
    </xf>
    <xf numFmtId="10" fontId="60" fillId="18" borderId="8" xfId="91" applyNumberFormat="1" applyFont="1" applyFill="1" applyBorder="1" applyAlignment="1">
      <alignment horizontal="center" vertical="center" wrapText="1"/>
    </xf>
    <xf numFmtId="44" fontId="60" fillId="18" borderId="8" xfId="91" applyNumberFormat="1" applyFont="1" applyFill="1" applyBorder="1" applyAlignment="1">
      <alignment horizontal="center" vertical="center" wrapText="1"/>
    </xf>
    <xf numFmtId="0" fontId="60" fillId="18" borderId="37" xfId="91" applyFont="1" applyFill="1" applyBorder="1" applyAlignment="1">
      <alignment horizontal="center" vertical="center" wrapText="1"/>
    </xf>
    <xf numFmtId="0" fontId="60" fillId="18" borderId="37" xfId="91" applyFont="1" applyFill="1" applyBorder="1" applyAlignment="1">
      <alignment horizontal="left" vertical="center" wrapText="1"/>
    </xf>
    <xf numFmtId="10" fontId="60" fillId="18" borderId="37" xfId="91" applyNumberFormat="1" applyFont="1" applyFill="1" applyBorder="1" applyAlignment="1">
      <alignment horizontal="center" vertical="center" wrapText="1"/>
    </xf>
    <xf numFmtId="44" fontId="60" fillId="18" borderId="37" xfId="91" applyNumberFormat="1" applyFont="1" applyFill="1" applyBorder="1" applyAlignment="1">
      <alignment horizontal="center" vertical="center" wrapText="1"/>
    </xf>
    <xf numFmtId="0" fontId="59" fillId="38" borderId="11" xfId="91" applyFont="1" applyFill="1" applyBorder="1" applyAlignment="1">
      <alignment vertical="center" wrapText="1"/>
    </xf>
    <xf numFmtId="0" fontId="73" fillId="38" borderId="11" xfId="91" applyFont="1" applyFill="1" applyBorder="1" applyAlignment="1">
      <alignment horizontal="right" vertical="center" wrapText="1"/>
    </xf>
    <xf numFmtId="10" fontId="59" fillId="38" borderId="11" xfId="91" applyNumberFormat="1" applyFont="1" applyFill="1" applyBorder="1" applyAlignment="1">
      <alignment horizontal="center" vertical="center" wrapText="1"/>
    </xf>
    <xf numFmtId="44" fontId="73" fillId="38" borderId="11" xfId="91" applyNumberFormat="1" applyFont="1" applyFill="1" applyBorder="1" applyAlignment="1">
      <alignment horizontal="center" vertical="center" wrapText="1"/>
    </xf>
    <xf numFmtId="0" fontId="60" fillId="0" borderId="31" xfId="91" applyFont="1" applyBorder="1" applyAlignment="1">
      <alignment horizontal="center" vertical="center" wrapText="1"/>
    </xf>
    <xf numFmtId="0" fontId="77" fillId="0" borderId="31" xfId="91" applyFont="1" applyBorder="1" applyAlignment="1">
      <alignment horizontal="left" vertical="center" wrapText="1"/>
    </xf>
    <xf numFmtId="171" fontId="60" fillId="0" borderId="31" xfId="91" applyNumberFormat="1" applyFont="1" applyBorder="1" applyAlignment="1">
      <alignment horizontal="center" vertical="center" wrapText="1"/>
    </xf>
    <xf numFmtId="0" fontId="59" fillId="0" borderId="37" xfId="91" applyFont="1" applyBorder="1" applyAlignment="1">
      <alignment horizontal="left" vertical="center" wrapText="1"/>
    </xf>
    <xf numFmtId="172" fontId="60" fillId="0" borderId="37" xfId="91" applyNumberFormat="1" applyFont="1" applyBorder="1" applyAlignment="1">
      <alignment horizontal="center" vertical="center" wrapText="1"/>
    </xf>
    <xf numFmtId="0" fontId="60" fillId="0" borderId="11" xfId="91" applyFont="1" applyBorder="1" applyAlignment="1">
      <alignment horizontal="center" vertical="center" wrapText="1"/>
    </xf>
    <xf numFmtId="0" fontId="59" fillId="0" borderId="11" xfId="91" applyFont="1" applyBorder="1" applyAlignment="1">
      <alignment horizontal="left" vertical="center" wrapText="1"/>
    </xf>
    <xf numFmtId="172" fontId="60" fillId="0" borderId="11" xfId="91" applyNumberFormat="1" applyFont="1" applyBorder="1" applyAlignment="1">
      <alignment horizontal="center" vertical="center" wrapText="1"/>
    </xf>
    <xf numFmtId="0" fontId="59" fillId="39" borderId="2" xfId="91" applyFont="1" applyFill="1" applyBorder="1" applyAlignment="1">
      <alignment horizontal="right" vertical="center" wrapText="1"/>
    </xf>
    <xf numFmtId="10" fontId="59" fillId="39" borderId="2" xfId="91" applyNumberFormat="1" applyFont="1" applyFill="1" applyBorder="1" applyAlignment="1">
      <alignment horizontal="center" vertical="center" wrapText="1"/>
    </xf>
    <xf numFmtId="44" fontId="59" fillId="39" borderId="2" xfId="91" applyNumberFormat="1" applyFont="1" applyFill="1" applyBorder="1" applyAlignment="1">
      <alignment horizontal="center" vertical="center" wrapText="1"/>
    </xf>
    <xf numFmtId="0" fontId="60" fillId="0" borderId="2" xfId="94" applyFont="1" applyBorder="1" applyAlignment="1">
      <alignment horizontal="left" vertical="center" wrapText="1"/>
    </xf>
    <xf numFmtId="0" fontId="60" fillId="18" borderId="2" xfId="94" applyFont="1" applyFill="1" applyBorder="1" applyAlignment="1">
      <alignment horizontal="left" vertical="center" wrapText="1"/>
    </xf>
    <xf numFmtId="0" fontId="60" fillId="0" borderId="8" xfId="94" applyFont="1" applyBorder="1" applyAlignment="1">
      <alignment horizontal="left" vertical="center" wrapText="1"/>
    </xf>
    <xf numFmtId="4" fontId="62" fillId="0" borderId="0" xfId="91" applyNumberFormat="1" applyFont="1" applyAlignment="1">
      <alignment horizontal="center" vertical="center" wrapText="1"/>
    </xf>
    <xf numFmtId="0" fontId="60" fillId="18" borderId="37" xfId="94" applyFont="1" applyFill="1" applyBorder="1" applyAlignment="1">
      <alignment horizontal="left" vertical="center" wrapText="1"/>
    </xf>
    <xf numFmtId="0" fontId="60" fillId="18" borderId="11" xfId="91" applyFont="1" applyFill="1" applyBorder="1" applyAlignment="1">
      <alignment horizontal="center" vertical="center" wrapText="1"/>
    </xf>
    <xf numFmtId="0" fontId="60" fillId="18" borderId="11" xfId="94" applyFont="1" applyFill="1" applyBorder="1" applyAlignment="1">
      <alignment horizontal="left" vertical="center" wrapText="1"/>
    </xf>
    <xf numFmtId="10" fontId="60" fillId="18" borderId="11" xfId="91" applyNumberFormat="1" applyFont="1" applyFill="1" applyBorder="1" applyAlignment="1">
      <alignment horizontal="center" vertical="center" wrapText="1"/>
    </xf>
    <xf numFmtId="44" fontId="60" fillId="18" borderId="11" xfId="91" applyNumberFormat="1" applyFont="1" applyFill="1" applyBorder="1" applyAlignment="1">
      <alignment horizontal="center" vertical="center" wrapText="1"/>
    </xf>
    <xf numFmtId="0" fontId="60" fillId="18" borderId="8" xfId="94" applyFont="1" applyFill="1" applyBorder="1" applyAlignment="1">
      <alignment horizontal="left" vertical="center" wrapText="1"/>
    </xf>
    <xf numFmtId="0" fontId="76" fillId="39" borderId="11" xfId="91" applyFont="1" applyFill="1" applyBorder="1" applyAlignment="1">
      <alignment horizontal="center" vertical="center" wrapText="1"/>
    </xf>
    <xf numFmtId="0" fontId="60" fillId="39" borderId="11" xfId="91" applyFont="1" applyFill="1" applyBorder="1" applyAlignment="1">
      <alignment horizontal="right" vertical="center" wrapText="1"/>
    </xf>
    <xf numFmtId="10" fontId="60" fillId="39" borderId="11" xfId="91" applyNumberFormat="1" applyFont="1" applyFill="1" applyBorder="1" applyAlignment="1">
      <alignment horizontal="center" vertical="center" wrapText="1"/>
    </xf>
    <xf numFmtId="44" fontId="60" fillId="39" borderId="11" xfId="91" applyNumberFormat="1" applyFont="1" applyFill="1" applyBorder="1" applyAlignment="1">
      <alignment horizontal="center" vertical="center" wrapText="1"/>
    </xf>
    <xf numFmtId="10" fontId="62" fillId="37" borderId="2" xfId="91" applyNumberFormat="1" applyFont="1" applyFill="1" applyBorder="1" applyAlignment="1">
      <alignment horizontal="center" vertical="center" wrapText="1"/>
    </xf>
    <xf numFmtId="44" fontId="74" fillId="37" borderId="2" xfId="91" applyNumberFormat="1" applyFont="1" applyFill="1" applyBorder="1" applyAlignment="1">
      <alignment horizontal="center" vertical="center" wrapText="1"/>
    </xf>
    <xf numFmtId="8" fontId="59" fillId="0" borderId="2" xfId="7" applyNumberFormat="1" applyFont="1" applyBorder="1" applyAlignment="1">
      <alignment horizontal="center" vertical="center" wrapText="1"/>
    </xf>
    <xf numFmtId="0" fontId="60" fillId="0" borderId="2" xfId="91" applyFont="1" applyBorder="1"/>
    <xf numFmtId="44" fontId="60" fillId="39" borderId="2" xfId="7" applyFont="1" applyFill="1" applyBorder="1" applyAlignment="1">
      <alignment horizontal="center" vertical="center" wrapText="1"/>
    </xf>
    <xf numFmtId="10" fontId="62" fillId="39" borderId="2" xfId="91" applyNumberFormat="1" applyFont="1" applyFill="1" applyBorder="1" applyAlignment="1">
      <alignment horizontal="center" vertical="center" wrapText="1"/>
    </xf>
    <xf numFmtId="44" fontId="62" fillId="39" borderId="2" xfId="91" applyNumberFormat="1" applyFont="1" applyFill="1" applyBorder="1" applyAlignment="1">
      <alignment horizontal="center" vertical="center" wrapText="1"/>
    </xf>
    <xf numFmtId="0" fontId="64" fillId="10" borderId="11" xfId="95" applyFont="1" applyFill="1" applyBorder="1" applyAlignment="1">
      <alignment horizontal="center" vertical="center" wrapText="1"/>
    </xf>
    <xf numFmtId="0" fontId="64" fillId="0" borderId="11" xfId="95" applyFont="1" applyBorder="1" applyAlignment="1">
      <alignment horizontal="center" vertical="center" wrapText="1"/>
    </xf>
    <xf numFmtId="0" fontId="64" fillId="0" borderId="2" xfId="95" applyFont="1" applyBorder="1" applyAlignment="1">
      <alignment horizontal="center" vertical="center" wrapText="1"/>
    </xf>
    <xf numFmtId="0" fontId="62" fillId="0" borderId="0" xfId="91" applyFont="1" applyAlignment="1">
      <alignment horizontal="right" vertical="center" wrapText="1"/>
    </xf>
    <xf numFmtId="0" fontId="60" fillId="0" borderId="0" xfId="91" applyFont="1" applyAlignment="1">
      <alignment horizontal="right" vertical="center" wrapText="1"/>
    </xf>
    <xf numFmtId="10" fontId="62" fillId="0" borderId="0" xfId="91" applyNumberFormat="1" applyFont="1" applyAlignment="1">
      <alignment horizontal="center" vertical="center" wrapText="1"/>
    </xf>
    <xf numFmtId="44" fontId="62" fillId="0" borderId="0" xfId="91" applyNumberFormat="1" applyFont="1" applyAlignment="1">
      <alignment horizontal="center" vertical="center" wrapText="1"/>
    </xf>
    <xf numFmtId="10" fontId="62" fillId="39" borderId="20" xfId="91" applyNumberFormat="1" applyFont="1" applyFill="1" applyBorder="1" applyAlignment="1">
      <alignment horizontal="center" vertical="center" wrapText="1"/>
    </xf>
    <xf numFmtId="0" fontId="76" fillId="39" borderId="8" xfId="91" applyFont="1" applyFill="1" applyBorder="1" applyAlignment="1">
      <alignment horizontal="center" vertical="center" wrapText="1"/>
    </xf>
    <xf numFmtId="0" fontId="60" fillId="39" borderId="8" xfId="91" applyFont="1" applyFill="1" applyBorder="1" applyAlignment="1">
      <alignment horizontal="right" vertical="center" wrapText="1"/>
    </xf>
    <xf numFmtId="0" fontId="60" fillId="0" borderId="0" xfId="43" applyFont="1" applyAlignment="1">
      <alignment vertical="center"/>
    </xf>
    <xf numFmtId="10" fontId="60" fillId="0" borderId="0" xfId="43" applyNumberFormat="1" applyFont="1" applyAlignment="1" applyProtection="1">
      <alignment horizontal="center" vertical="center"/>
      <protection locked="0"/>
    </xf>
    <xf numFmtId="0" fontId="60" fillId="0" borderId="0" xfId="43" applyFont="1" applyAlignment="1" applyProtection="1">
      <alignment horizontal="center" vertical="center"/>
      <protection locked="0"/>
    </xf>
    <xf numFmtId="0" fontId="62" fillId="0" borderId="2" xfId="0" applyFont="1" applyBorder="1" applyAlignment="1">
      <alignment horizontal="center" vertical="center" wrapText="1"/>
    </xf>
    <xf numFmtId="43" fontId="62" fillId="0" borderId="2" xfId="0" applyNumberFormat="1" applyFont="1" applyBorder="1" applyAlignment="1">
      <alignment horizontal="center" vertical="center" wrapText="1"/>
    </xf>
    <xf numFmtId="43" fontId="62" fillId="0" borderId="8" xfId="0" applyNumberFormat="1" applyFont="1" applyBorder="1" applyAlignment="1">
      <alignment horizontal="center" vertical="center" wrapText="1"/>
    </xf>
    <xf numFmtId="0" fontId="62" fillId="16" borderId="2" xfId="0" applyFont="1" applyFill="1" applyBorder="1" applyAlignment="1">
      <alignment horizontal="center" vertical="center" wrapText="1"/>
    </xf>
    <xf numFmtId="44" fontId="62" fillId="16" borderId="30" xfId="7" applyFont="1" applyFill="1" applyBorder="1" applyAlignment="1">
      <alignment horizontal="center" vertical="center"/>
    </xf>
    <xf numFmtId="0" fontId="60" fillId="0" borderId="2" xfId="0" applyFont="1" applyBorder="1" applyAlignment="1">
      <alignment horizontal="center" vertical="center"/>
    </xf>
    <xf numFmtId="44" fontId="60" fillId="0" borderId="2" xfId="7" applyFont="1" applyBorder="1" applyAlignment="1">
      <alignment horizontal="center" vertical="center"/>
    </xf>
    <xf numFmtId="43" fontId="60" fillId="0" borderId="31" xfId="0" applyNumberFormat="1" applyFont="1" applyBorder="1" applyAlignment="1">
      <alignment horizontal="center" vertical="center"/>
    </xf>
    <xf numFmtId="0" fontId="62" fillId="16" borderId="2" xfId="0" applyFont="1" applyFill="1" applyBorder="1" applyAlignment="1">
      <alignment horizontal="center" vertical="center"/>
    </xf>
    <xf numFmtId="43" fontId="62" fillId="16" borderId="19" xfId="0" applyNumberFormat="1" applyFont="1" applyFill="1" applyBorder="1" applyAlignment="1">
      <alignment horizontal="center" vertical="center"/>
    </xf>
    <xf numFmtId="43" fontId="62" fillId="16" borderId="8" xfId="0" applyNumberFormat="1" applyFont="1" applyFill="1" applyBorder="1" applyAlignment="1">
      <alignment horizontal="center" vertical="center"/>
    </xf>
    <xf numFmtId="0" fontId="60" fillId="0" borderId="2" xfId="0" applyFont="1" applyBorder="1" applyAlignment="1">
      <alignment horizontal="center"/>
    </xf>
    <xf numFmtId="10" fontId="60" fillId="0" borderId="2" xfId="0" applyNumberFormat="1" applyFont="1" applyBorder="1" applyAlignment="1">
      <alignment horizontal="center" vertical="center"/>
    </xf>
    <xf numFmtId="43" fontId="60" fillId="0" borderId="2" xfId="0" applyNumberFormat="1" applyFont="1" applyBorder="1" applyAlignment="1">
      <alignment horizontal="center" vertical="center"/>
    </xf>
    <xf numFmtId="43" fontId="62" fillId="0" borderId="9" xfId="0" applyNumberFormat="1" applyFont="1" applyBorder="1" applyAlignment="1">
      <alignment horizontal="center" vertical="center"/>
    </xf>
    <xf numFmtId="0" fontId="60" fillId="0" borderId="8" xfId="0" applyFont="1" applyBorder="1" applyAlignment="1">
      <alignment horizontal="center"/>
    </xf>
    <xf numFmtId="0" fontId="60" fillId="0" borderId="8" xfId="0" applyFont="1" applyBorder="1" applyAlignment="1">
      <alignment horizontal="center" vertical="center"/>
    </xf>
    <xf numFmtId="10" fontId="60" fillId="0" borderId="8" xfId="0" applyNumberFormat="1" applyFont="1" applyBorder="1" applyAlignment="1">
      <alignment horizontal="center" vertical="center"/>
    </xf>
    <xf numFmtId="43" fontId="60" fillId="0" borderId="8" xfId="0" applyNumberFormat="1" applyFont="1" applyBorder="1" applyAlignment="1">
      <alignment horizontal="center" vertical="center"/>
    </xf>
    <xf numFmtId="43" fontId="62" fillId="0" borderId="32" xfId="0" applyNumberFormat="1" applyFont="1" applyBorder="1" applyAlignment="1">
      <alignment horizontal="center" vertical="center"/>
    </xf>
    <xf numFmtId="0" fontId="60" fillId="0" borderId="11" xfId="0" applyFont="1" applyBorder="1" applyAlignment="1">
      <alignment horizontal="center"/>
    </xf>
    <xf numFmtId="0" fontId="62" fillId="0" borderId="11" xfId="0" applyFont="1" applyBorder="1" applyAlignment="1">
      <alignment horizontal="center" vertical="center"/>
    </xf>
    <xf numFmtId="0" fontId="60" fillId="0" borderId="21" xfId="0" applyFont="1" applyBorder="1" applyAlignment="1">
      <alignment horizontal="center" vertical="center"/>
    </xf>
    <xf numFmtId="10" fontId="62" fillId="5" borderId="33" xfId="0" applyNumberFormat="1" applyFont="1" applyFill="1" applyBorder="1" applyAlignment="1">
      <alignment horizontal="center" vertical="center"/>
    </xf>
    <xf numFmtId="43" fontId="74" fillId="0" borderId="41" xfId="0" applyNumberFormat="1" applyFont="1" applyBorder="1" applyAlignment="1">
      <alignment horizontal="center" vertical="center"/>
    </xf>
    <xf numFmtId="43" fontId="74" fillId="0" borderId="1" xfId="0" applyNumberFormat="1" applyFont="1" applyBorder="1" applyAlignment="1">
      <alignment horizontal="center" vertical="center"/>
    </xf>
    <xf numFmtId="0" fontId="62" fillId="0" borderId="20" xfId="0" applyFont="1" applyBorder="1" applyAlignment="1">
      <alignment horizontal="center"/>
    </xf>
    <xf numFmtId="10" fontId="60" fillId="0" borderId="2" xfId="0" applyNumberFormat="1" applyFont="1" applyBorder="1" applyAlignment="1">
      <alignment horizontal="center"/>
    </xf>
    <xf numFmtId="0" fontId="60" fillId="0" borderId="21" xfId="0" applyFont="1" applyBorder="1" applyAlignment="1">
      <alignment horizontal="center"/>
    </xf>
    <xf numFmtId="43" fontId="60" fillId="0" borderId="1" xfId="0" applyNumberFormat="1" applyFont="1" applyBorder="1" applyAlignment="1">
      <alignment horizontal="center"/>
    </xf>
    <xf numFmtId="43" fontId="60" fillId="0" borderId="2" xfId="0" applyNumberFormat="1" applyFont="1" applyBorder="1" applyAlignment="1">
      <alignment horizontal="center"/>
    </xf>
    <xf numFmtId="0" fontId="60" fillId="0" borderId="9" xfId="0" applyFont="1" applyBorder="1" applyAlignment="1">
      <alignment horizontal="center"/>
    </xf>
    <xf numFmtId="43" fontId="60" fillId="0" borderId="19" xfId="0" applyNumberFormat="1" applyFont="1" applyBorder="1" applyAlignment="1">
      <alignment horizontal="center"/>
    </xf>
    <xf numFmtId="0" fontId="60" fillId="0" borderId="15" xfId="0" applyFont="1" applyBorder="1" applyAlignment="1">
      <alignment horizontal="center"/>
    </xf>
    <xf numFmtId="43" fontId="60" fillId="0" borderId="15" xfId="0" applyNumberFormat="1" applyFont="1" applyBorder="1" applyAlignment="1">
      <alignment horizontal="center"/>
    </xf>
    <xf numFmtId="44" fontId="62" fillId="16" borderId="2" xfId="43" applyNumberFormat="1" applyFont="1" applyFill="1" applyBorder="1" applyAlignment="1" applyProtection="1">
      <alignment horizontal="center" vertical="center"/>
      <protection locked="0"/>
    </xf>
    <xf numFmtId="174" fontId="60" fillId="0" borderId="0" xfId="43" applyNumberFormat="1" applyFont="1" applyAlignment="1" applyProtection="1">
      <alignment horizontal="center" vertical="center"/>
      <protection locked="0"/>
    </xf>
    <xf numFmtId="0" fontId="62" fillId="4" borderId="2" xfId="43" applyFont="1" applyFill="1" applyBorder="1" applyAlignment="1" applyProtection="1">
      <alignment horizontal="center" vertical="center"/>
      <protection locked="0"/>
    </xf>
    <xf numFmtId="10" fontId="62" fillId="4" borderId="2" xfId="62" applyNumberFormat="1" applyFont="1" applyFill="1" applyBorder="1" applyAlignment="1" applyProtection="1">
      <alignment horizontal="center" vertical="center"/>
      <protection locked="0"/>
    </xf>
    <xf numFmtId="0" fontId="62" fillId="0" borderId="41" xfId="0" applyFont="1" applyBorder="1" applyAlignment="1">
      <alignment horizontal="center" vertical="center"/>
    </xf>
    <xf numFmtId="0" fontId="62" fillId="0" borderId="41" xfId="0" applyFont="1" applyBorder="1" applyAlignment="1">
      <alignment horizontal="center" vertical="center" wrapText="1"/>
    </xf>
    <xf numFmtId="44" fontId="60" fillId="0" borderId="41" xfId="43" applyNumberFormat="1" applyFont="1" applyBorder="1" applyAlignment="1">
      <alignment horizontal="center" vertical="center"/>
    </xf>
    <xf numFmtId="10" fontId="62" fillId="5" borderId="30" xfId="0" applyNumberFormat="1" applyFont="1" applyFill="1" applyBorder="1" applyAlignment="1">
      <alignment horizontal="center" vertical="center"/>
    </xf>
    <xf numFmtId="43" fontId="74" fillId="0" borderId="21" xfId="0" applyNumberFormat="1" applyFont="1" applyBorder="1" applyAlignment="1">
      <alignment horizontal="center" vertical="center"/>
    </xf>
    <xf numFmtId="0" fontId="62" fillId="24" borderId="41" xfId="0" applyFont="1" applyFill="1" applyBorder="1" applyAlignment="1">
      <alignment horizontal="center" vertical="center"/>
    </xf>
    <xf numFmtId="0" fontId="62" fillId="24" borderId="41" xfId="0" applyFont="1" applyFill="1" applyBorder="1" applyAlignment="1">
      <alignment horizontal="center" vertical="center" wrapText="1"/>
    </xf>
    <xf numFmtId="0" fontId="62" fillId="0" borderId="0" xfId="43" applyFont="1" applyAlignment="1">
      <alignment vertical="center" wrapText="1"/>
    </xf>
    <xf numFmtId="164" fontId="60" fillId="0" borderId="0" xfId="43" applyNumberFormat="1" applyFont="1" applyAlignment="1" applyProtection="1">
      <alignment horizontal="center" vertical="center"/>
      <protection locked="0"/>
    </xf>
    <xf numFmtId="0" fontId="62" fillId="17" borderId="2" xfId="28" applyFont="1" applyFill="1" applyBorder="1" applyAlignment="1">
      <alignment horizontal="center" vertical="center" wrapText="1"/>
    </xf>
    <xf numFmtId="44" fontId="62" fillId="16" borderId="2" xfId="7" applyFont="1" applyFill="1" applyBorder="1" applyAlignment="1">
      <alignment horizontal="center" vertical="center" wrapText="1"/>
    </xf>
    <xf numFmtId="10" fontId="62" fillId="16" borderId="2" xfId="28" applyNumberFormat="1" applyFont="1" applyFill="1" applyBorder="1" applyAlignment="1">
      <alignment horizontal="center" vertical="center" wrapText="1"/>
    </xf>
    <xf numFmtId="10" fontId="60" fillId="18" borderId="2" xfId="28" applyNumberFormat="1" applyFont="1" applyFill="1" applyBorder="1" applyAlignment="1">
      <alignment horizontal="center" vertical="center" wrapText="1"/>
    </xf>
    <xf numFmtId="0" fontId="60" fillId="0" borderId="2" xfId="28" applyFont="1" applyBorder="1" applyAlignment="1">
      <alignment horizontal="center" vertical="center" wrapText="1"/>
    </xf>
    <xf numFmtId="164" fontId="60" fillId="19" borderId="2" xfId="7" applyNumberFormat="1" applyFont="1" applyFill="1" applyBorder="1" applyAlignment="1">
      <alignment horizontal="center" vertical="center" wrapText="1"/>
    </xf>
    <xf numFmtId="0" fontId="60" fillId="0" borderId="2" xfId="43" applyFont="1" applyBorder="1" applyAlignment="1">
      <alignment horizontal="center" vertical="center" wrapText="1"/>
    </xf>
    <xf numFmtId="1" fontId="60" fillId="0" borderId="0" xfId="43" applyNumberFormat="1" applyFont="1"/>
    <xf numFmtId="170" fontId="62" fillId="21" borderId="41" xfId="43" applyNumberFormat="1" applyFont="1" applyFill="1" applyBorder="1" applyAlignment="1">
      <alignment vertical="center" wrapText="1"/>
    </xf>
    <xf numFmtId="10" fontId="60" fillId="0" borderId="0" xfId="43" applyNumberFormat="1" applyFont="1"/>
    <xf numFmtId="0" fontId="62" fillId="29" borderId="2" xfId="39" applyFont="1" applyFill="1" applyBorder="1" applyAlignment="1">
      <alignment horizontal="center" vertical="center" wrapText="1"/>
    </xf>
    <xf numFmtId="0" fontId="62" fillId="29" borderId="9" xfId="39" applyFont="1" applyFill="1" applyBorder="1" applyAlignment="1">
      <alignment horizontal="center" vertical="center" wrapText="1"/>
    </xf>
    <xf numFmtId="0" fontId="62" fillId="29" borderId="19" xfId="39" applyFont="1" applyFill="1" applyBorder="1" applyAlignment="1">
      <alignment horizontal="center" vertical="center" wrapText="1"/>
    </xf>
    <xf numFmtId="0" fontId="62" fillId="29" borderId="20" xfId="39" applyFont="1" applyFill="1" applyBorder="1" applyAlignment="1">
      <alignment horizontal="center" vertical="center" wrapText="1"/>
    </xf>
    <xf numFmtId="0" fontId="62" fillId="19" borderId="46" xfId="89" applyFont="1" applyFill="1" applyBorder="1" applyAlignment="1">
      <alignment horizontal="center" vertical="center"/>
    </xf>
    <xf numFmtId="0" fontId="62" fillId="19" borderId="47" xfId="89" applyFont="1" applyFill="1" applyBorder="1" applyAlignment="1">
      <alignment horizontal="center" vertical="center"/>
    </xf>
    <xf numFmtId="0" fontId="62" fillId="19" borderId="41" xfId="89" applyFont="1" applyFill="1" applyBorder="1" applyAlignment="1">
      <alignment horizontal="left" vertical="center" wrapText="1"/>
    </xf>
    <xf numFmtId="0" fontId="60" fillId="19" borderId="41" xfId="89" applyFont="1" applyFill="1" applyBorder="1" applyAlignment="1">
      <alignment horizontal="left" vertical="center" wrapText="1"/>
    </xf>
    <xf numFmtId="0" fontId="60" fillId="18" borderId="41" xfId="0" applyFont="1" applyFill="1" applyBorder="1" applyAlignment="1">
      <alignment horizontal="center" wrapText="1"/>
    </xf>
    <xf numFmtId="0" fontId="62" fillId="19" borderId="45" xfId="89" applyFont="1" applyFill="1" applyBorder="1" applyAlignment="1">
      <alignment horizontal="center" vertical="center"/>
    </xf>
    <xf numFmtId="0" fontId="62" fillId="0" borderId="41" xfId="0" applyFont="1" applyBorder="1" applyAlignment="1">
      <alignment horizontal="center"/>
    </xf>
    <xf numFmtId="0" fontId="62" fillId="0" borderId="41" xfId="0" applyFont="1" applyBorder="1" applyAlignment="1">
      <alignment horizontal="center" wrapText="1"/>
    </xf>
    <xf numFmtId="0" fontId="60" fillId="0" borderId="41" xfId="0" applyFont="1" applyBorder="1" applyAlignment="1">
      <alignment horizontal="center" wrapText="1"/>
    </xf>
    <xf numFmtId="0" fontId="62" fillId="0" borderId="9" xfId="43" applyFont="1" applyBorder="1" applyAlignment="1">
      <alignment horizontal="center" vertical="center" wrapText="1"/>
    </xf>
    <xf numFmtId="0" fontId="62" fillId="0" borderId="20" xfId="43" applyFont="1" applyBorder="1" applyAlignment="1">
      <alignment horizontal="center" vertical="center" wrapText="1"/>
    </xf>
    <xf numFmtId="0" fontId="60" fillId="0" borderId="9" xfId="24" applyFont="1" applyBorder="1" applyAlignment="1">
      <alignment horizontal="center" vertical="center"/>
    </xf>
    <xf numFmtId="0" fontId="60" fillId="0" borderId="19" xfId="24" applyFont="1" applyBorder="1" applyAlignment="1">
      <alignment horizontal="center" vertical="center"/>
    </xf>
    <xf numFmtId="0" fontId="60" fillId="0" borderId="20" xfId="24" applyFont="1" applyBorder="1" applyAlignment="1">
      <alignment horizontal="center" vertical="center"/>
    </xf>
    <xf numFmtId="0" fontId="62" fillId="27" borderId="9" xfId="34" applyFont="1" applyFill="1" applyBorder="1" applyAlignment="1">
      <alignment horizontal="center" vertical="center"/>
    </xf>
    <xf numFmtId="0" fontId="62" fillId="27" borderId="20" xfId="34" applyFont="1" applyFill="1" applyBorder="1" applyAlignment="1">
      <alignment horizontal="center" vertical="center"/>
    </xf>
    <xf numFmtId="0" fontId="62" fillId="27" borderId="19" xfId="34" applyFont="1" applyFill="1" applyBorder="1" applyAlignment="1">
      <alignment horizontal="center" vertical="center"/>
    </xf>
    <xf numFmtId="164" fontId="60" fillId="0" borderId="9" xfId="34" applyNumberFormat="1" applyFont="1" applyBorder="1" applyAlignment="1">
      <alignment horizontal="center" vertical="center"/>
    </xf>
    <xf numFmtId="164" fontId="60" fillId="0" borderId="20" xfId="34" applyNumberFormat="1" applyFont="1" applyBorder="1" applyAlignment="1">
      <alignment horizontal="center" vertical="center"/>
    </xf>
    <xf numFmtId="0" fontId="60" fillId="0" borderId="9" xfId="34" applyFont="1" applyBorder="1" applyAlignment="1">
      <alignment horizontal="center" vertical="center"/>
    </xf>
    <xf numFmtId="0" fontId="60" fillId="0" borderId="19" xfId="34" applyFont="1" applyBorder="1" applyAlignment="1">
      <alignment horizontal="center" vertical="center"/>
    </xf>
    <xf numFmtId="0" fontId="60" fillId="0" borderId="20" xfId="34" applyFont="1" applyBorder="1" applyAlignment="1">
      <alignment horizontal="center" vertical="center"/>
    </xf>
    <xf numFmtId="0" fontId="62" fillId="16" borderId="9" xfId="46" applyFont="1" applyFill="1" applyBorder="1" applyAlignment="1">
      <alignment horizontal="center" vertical="center" wrapText="1"/>
    </xf>
    <xf numFmtId="0" fontId="62" fillId="16" borderId="20" xfId="46" applyFont="1" applyFill="1" applyBorder="1" applyAlignment="1">
      <alignment horizontal="center" vertical="center" wrapText="1"/>
    </xf>
    <xf numFmtId="0" fontId="62" fillId="33" borderId="8" xfId="46" applyFont="1" applyFill="1" applyBorder="1" applyAlignment="1">
      <alignment horizontal="center" vertical="center" wrapText="1"/>
    </xf>
    <xf numFmtId="0" fontId="62" fillId="33" borderId="11" xfId="46" applyFont="1" applyFill="1" applyBorder="1" applyAlignment="1">
      <alignment horizontal="center" vertical="center" wrapText="1"/>
    </xf>
    <xf numFmtId="0" fontId="60" fillId="0" borderId="2" xfId="24" applyFont="1" applyBorder="1" applyAlignment="1">
      <alignment horizontal="center" vertical="center"/>
    </xf>
    <xf numFmtId="0" fontId="60" fillId="0" borderId="2" xfId="24" applyFont="1" applyBorder="1" applyAlignment="1">
      <alignment horizontal="justify" vertical="center" wrapText="1"/>
    </xf>
    <xf numFmtId="0" fontId="62" fillId="27" borderId="8" xfId="24" applyFont="1" applyFill="1" applyBorder="1" applyAlignment="1">
      <alignment horizontal="center" vertical="center" textRotation="90"/>
    </xf>
    <xf numFmtId="0" fontId="62" fillId="27" borderId="31" xfId="24" applyFont="1" applyFill="1" applyBorder="1" applyAlignment="1">
      <alignment horizontal="center" vertical="center" textRotation="90"/>
    </xf>
    <xf numFmtId="0" fontId="62" fillId="27" borderId="11" xfId="24" applyFont="1" applyFill="1" applyBorder="1" applyAlignment="1">
      <alignment horizontal="center" vertical="center" textRotation="90"/>
    </xf>
    <xf numFmtId="0" fontId="62" fillId="33" borderId="8" xfId="46" applyFont="1" applyFill="1" applyBorder="1" applyAlignment="1">
      <alignment horizontal="center" vertical="center"/>
    </xf>
    <xf numFmtId="0" fontId="62" fillId="33" borderId="11" xfId="46" applyFont="1" applyFill="1" applyBorder="1" applyAlignment="1">
      <alignment horizontal="center" vertical="center"/>
    </xf>
    <xf numFmtId="0" fontId="62" fillId="27" borderId="32" xfId="24" applyFont="1" applyFill="1" applyBorder="1" applyAlignment="1">
      <alignment horizontal="center" vertical="center"/>
    </xf>
    <xf numFmtId="0" fontId="62" fillId="27" borderId="39" xfId="24" applyFont="1" applyFill="1" applyBorder="1" applyAlignment="1">
      <alignment horizontal="center" vertical="center"/>
    </xf>
    <xf numFmtId="0" fontId="62" fillId="27" borderId="21" xfId="24" applyFont="1" applyFill="1" applyBorder="1" applyAlignment="1">
      <alignment horizontal="center" vertical="center"/>
    </xf>
    <xf numFmtId="0" fontId="62" fillId="27" borderId="40" xfId="24" applyFont="1" applyFill="1" applyBorder="1" applyAlignment="1">
      <alignment horizontal="center" vertical="center"/>
    </xf>
    <xf numFmtId="0" fontId="60" fillId="0" borderId="9" xfId="43" applyFont="1" applyBorder="1" applyAlignment="1">
      <alignment horizontal="center" vertical="center"/>
    </xf>
    <xf numFmtId="0" fontId="60" fillId="0" borderId="20" xfId="43" applyFont="1" applyBorder="1" applyAlignment="1">
      <alignment horizontal="center" vertical="center"/>
    </xf>
    <xf numFmtId="1" fontId="60" fillId="0" borderId="2" xfId="62" applyNumberFormat="1" applyFont="1" applyFill="1" applyBorder="1" applyAlignment="1">
      <alignment horizontal="center" vertical="center" wrapText="1"/>
    </xf>
    <xf numFmtId="0" fontId="60" fillId="0" borderId="2" xfId="62" applyNumberFormat="1" applyFont="1" applyFill="1" applyBorder="1" applyAlignment="1">
      <alignment horizontal="center" vertical="center" wrapText="1"/>
    </xf>
    <xf numFmtId="0" fontId="62" fillId="3" borderId="9" xfId="24" applyFont="1" applyFill="1" applyBorder="1" applyAlignment="1">
      <alignment horizontal="center" vertical="center"/>
    </xf>
    <xf numFmtId="0" fontId="62" fillId="3" borderId="20" xfId="24" applyFont="1" applyFill="1" applyBorder="1" applyAlignment="1">
      <alignment horizontal="center" vertical="center"/>
    </xf>
    <xf numFmtId="164" fontId="60" fillId="0" borderId="2" xfId="34" applyNumberFormat="1" applyFont="1" applyBorder="1" applyAlignment="1">
      <alignment horizontal="center" vertical="center"/>
    </xf>
    <xf numFmtId="0" fontId="60" fillId="0" borderId="9" xfId="34" applyFont="1" applyBorder="1" applyAlignment="1">
      <alignment horizontal="center" vertical="center" wrapText="1"/>
    </xf>
    <xf numFmtId="0" fontId="60" fillId="0" borderId="19" xfId="34" applyFont="1" applyBorder="1" applyAlignment="1">
      <alignment horizontal="center" vertical="center" wrapText="1"/>
    </xf>
    <xf numFmtId="0" fontId="60" fillId="0" borderId="20" xfId="34" applyFont="1" applyBorder="1" applyAlignment="1">
      <alignment horizontal="center" vertical="center" wrapText="1"/>
    </xf>
    <xf numFmtId="0" fontId="62" fillId="3" borderId="9" xfId="43" applyFont="1" applyFill="1" applyBorder="1" applyAlignment="1">
      <alignment horizontal="center" vertical="center" wrapText="1"/>
    </xf>
    <xf numFmtId="0" fontId="62" fillId="3" borderId="19" xfId="43" applyFont="1" applyFill="1" applyBorder="1" applyAlignment="1">
      <alignment horizontal="center" vertical="center" wrapText="1"/>
    </xf>
    <xf numFmtId="0" fontId="62" fillId="3" borderId="20" xfId="43" applyFont="1" applyFill="1" applyBorder="1" applyAlignment="1">
      <alignment horizontal="center" vertical="center" wrapText="1"/>
    </xf>
    <xf numFmtId="0" fontId="62" fillId="0" borderId="2" xfId="29" applyFont="1" applyBorder="1" applyAlignment="1">
      <alignment horizontal="center" vertical="center"/>
    </xf>
    <xf numFmtId="0" fontId="60" fillId="0" borderId="9" xfId="24" applyFont="1" applyBorder="1" applyAlignment="1">
      <alignment horizontal="justify" vertical="center" wrapText="1"/>
    </xf>
    <xf numFmtId="0" fontId="60" fillId="0" borderId="19" xfId="24" applyFont="1" applyBorder="1" applyAlignment="1">
      <alignment horizontal="justify" vertical="center" wrapText="1"/>
    </xf>
    <xf numFmtId="0" fontId="60" fillId="0" borderId="20" xfId="24" applyFont="1" applyBorder="1" applyAlignment="1">
      <alignment horizontal="justify" vertical="center" wrapText="1"/>
    </xf>
    <xf numFmtId="0" fontId="66" fillId="0" borderId="41" xfId="29" applyFont="1" applyBorder="1" applyAlignment="1" applyProtection="1">
      <alignment horizontal="left" vertical="center" wrapText="1"/>
      <protection locked="0"/>
    </xf>
    <xf numFmtId="0" fontId="62" fillId="34" borderId="9" xfId="0" applyFont="1" applyFill="1" applyBorder="1" applyAlignment="1">
      <alignment horizontal="center" vertical="center"/>
    </xf>
    <xf numFmtId="0" fontId="62" fillId="34" borderId="19" xfId="0" applyFont="1" applyFill="1" applyBorder="1" applyAlignment="1">
      <alignment horizontal="center" vertical="center"/>
    </xf>
    <xf numFmtId="0" fontId="62" fillId="0" borderId="1" xfId="0" applyFont="1" applyBorder="1" applyAlignment="1">
      <alignment horizontal="center"/>
    </xf>
    <xf numFmtId="0" fontId="62" fillId="36" borderId="9" xfId="0" applyFont="1" applyFill="1" applyBorder="1" applyAlignment="1">
      <alignment horizontal="center" vertical="center" wrapText="1"/>
    </xf>
    <xf numFmtId="0" fontId="62" fillId="36" borderId="19" xfId="0" applyFont="1" applyFill="1" applyBorder="1" applyAlignment="1">
      <alignment horizontal="center" vertical="center" wrapText="1"/>
    </xf>
    <xf numFmtId="0" fontId="62" fillId="36" borderId="20" xfId="0" applyFont="1" applyFill="1" applyBorder="1" applyAlignment="1">
      <alignment horizontal="center" vertical="center" wrapText="1"/>
    </xf>
    <xf numFmtId="0" fontId="62" fillId="0" borderId="69" xfId="43" applyFont="1" applyBorder="1" applyAlignment="1">
      <alignment horizontal="center"/>
    </xf>
    <xf numFmtId="0" fontId="60" fillId="0" borderId="69" xfId="43" applyFont="1" applyBorder="1" applyAlignment="1">
      <alignment horizontal="center"/>
    </xf>
    <xf numFmtId="0" fontId="62" fillId="41" borderId="49" xfId="0" applyFont="1" applyFill="1" applyBorder="1" applyAlignment="1">
      <alignment horizontal="center" vertical="center" wrapText="1"/>
    </xf>
    <xf numFmtId="0" fontId="62" fillId="41" borderId="44" xfId="0" applyFont="1" applyFill="1" applyBorder="1" applyAlignment="1">
      <alignment horizontal="center" vertical="center" wrapText="1"/>
    </xf>
    <xf numFmtId="0" fontId="62" fillId="41" borderId="68" xfId="0" applyFont="1" applyFill="1" applyBorder="1" applyAlignment="1">
      <alignment horizontal="center" vertical="center" wrapText="1"/>
    </xf>
    <xf numFmtId="0" fontId="62" fillId="0" borderId="69" xfId="0" applyFont="1" applyBorder="1" applyAlignment="1">
      <alignment horizontal="center" vertical="center"/>
    </xf>
    <xf numFmtId="0" fontId="62" fillId="0" borderId="46" xfId="0" applyFont="1" applyBorder="1" applyAlignment="1">
      <alignment horizontal="center" vertical="center"/>
    </xf>
    <xf numFmtId="0" fontId="62" fillId="0" borderId="47" xfId="0" applyFont="1" applyBorder="1" applyAlignment="1">
      <alignment horizontal="center" vertical="center"/>
    </xf>
    <xf numFmtId="0" fontId="62" fillId="0" borderId="45" xfId="0" applyFont="1" applyBorder="1" applyAlignment="1">
      <alignment horizontal="center" vertical="center"/>
    </xf>
    <xf numFmtId="0" fontId="62" fillId="41" borderId="49" xfId="0" applyFont="1" applyFill="1" applyBorder="1" applyAlignment="1">
      <alignment horizontal="center" vertical="center"/>
    </xf>
    <xf numFmtId="0" fontId="62" fillId="41" borderId="44" xfId="0" applyFont="1" applyFill="1" applyBorder="1" applyAlignment="1">
      <alignment horizontal="center" vertical="center"/>
    </xf>
    <xf numFmtId="0" fontId="62" fillId="41" borderId="68" xfId="0" applyFont="1" applyFill="1" applyBorder="1" applyAlignment="1">
      <alignment horizontal="center" vertical="center"/>
    </xf>
    <xf numFmtId="0" fontId="60" fillId="0" borderId="9" xfId="43" applyFont="1" applyBorder="1" applyAlignment="1">
      <alignment horizontal="justify" vertical="center" wrapText="1"/>
    </xf>
    <xf numFmtId="0" fontId="60" fillId="0" borderId="19" xfId="43" applyFont="1" applyBorder="1" applyAlignment="1">
      <alignment horizontal="justify" vertical="center" wrapText="1"/>
    </xf>
    <xf numFmtId="0" fontId="60" fillId="0" borderId="20" xfId="43" applyFont="1" applyBorder="1" applyAlignment="1">
      <alignment horizontal="justify" vertical="center" wrapText="1"/>
    </xf>
    <xf numFmtId="0" fontId="62" fillId="25" borderId="9" xfId="59" applyFont="1" applyFill="1" applyBorder="1" applyAlignment="1">
      <alignment horizontal="center" vertical="center" wrapText="1"/>
    </xf>
    <xf numFmtId="0" fontId="62" fillId="25" borderId="19" xfId="59" applyFont="1" applyFill="1" applyBorder="1" applyAlignment="1">
      <alignment horizontal="center" vertical="center" wrapText="1"/>
    </xf>
    <xf numFmtId="0" fontId="60" fillId="25" borderId="19" xfId="55" applyFont="1" applyFill="1" applyBorder="1" applyAlignment="1">
      <alignment horizontal="center" vertical="center"/>
    </xf>
    <xf numFmtId="0" fontId="60" fillId="25" borderId="20" xfId="55" applyFont="1" applyFill="1" applyBorder="1" applyAlignment="1">
      <alignment horizontal="center" vertical="center"/>
    </xf>
    <xf numFmtId="0" fontId="62" fillId="23" borderId="2" xfId="59" applyFont="1" applyFill="1" applyBorder="1" applyAlignment="1">
      <alignment horizontal="left" vertical="center" wrapText="1"/>
    </xf>
    <xf numFmtId="0" fontId="60" fillId="23" borderId="2" xfId="55" applyFont="1" applyFill="1" applyBorder="1" applyAlignment="1">
      <alignment horizontal="left" vertical="center"/>
    </xf>
    <xf numFmtId="10" fontId="62" fillId="23" borderId="2" xfId="61" applyNumberFormat="1" applyFont="1" applyFill="1" applyBorder="1" applyAlignment="1">
      <alignment horizontal="center" vertical="center" shrinkToFit="1"/>
    </xf>
    <xf numFmtId="0" fontId="60" fillId="23" borderId="2" xfId="55" applyFont="1" applyFill="1" applyBorder="1" applyAlignment="1">
      <alignment vertical="center" shrinkToFit="1"/>
    </xf>
    <xf numFmtId="0" fontId="60" fillId="0" borderId="2" xfId="59" applyFont="1" applyBorder="1" applyAlignment="1">
      <alignment vertical="center" shrinkToFit="1"/>
    </xf>
    <xf numFmtId="0" fontId="60" fillId="0" borderId="2" xfId="55" applyFont="1" applyBorder="1">
      <alignment vertical="center"/>
    </xf>
    <xf numFmtId="10" fontId="60" fillId="0" borderId="2" xfId="61" applyNumberFormat="1" applyFont="1" applyFill="1" applyBorder="1" applyAlignment="1">
      <alignment horizontal="center" vertical="center" shrinkToFit="1"/>
    </xf>
    <xf numFmtId="0" fontId="60" fillId="0" borderId="2" xfId="55" applyFont="1" applyBorder="1" applyAlignment="1">
      <alignment horizontal="center" vertical="center" shrinkToFit="1"/>
    </xf>
    <xf numFmtId="0" fontId="60" fillId="0" borderId="8" xfId="59" applyFont="1" applyBorder="1" applyAlignment="1">
      <alignment vertical="center" shrinkToFit="1"/>
    </xf>
    <xf numFmtId="0" fontId="60" fillId="0" borderId="8" xfId="55" applyFont="1" applyBorder="1">
      <alignment vertical="center"/>
    </xf>
    <xf numFmtId="0" fontId="60" fillId="0" borderId="32" xfId="59" applyFont="1" applyBorder="1" applyAlignment="1">
      <alignment vertical="center" shrinkToFit="1"/>
    </xf>
    <xf numFmtId="0" fontId="60" fillId="0" borderId="13" xfId="59" applyFont="1" applyBorder="1" applyAlignment="1">
      <alignment vertical="center" shrinkToFit="1"/>
    </xf>
    <xf numFmtId="0" fontId="60" fillId="0" borderId="13" xfId="55" applyFont="1" applyBorder="1">
      <alignment vertical="center"/>
    </xf>
    <xf numFmtId="0" fontId="60" fillId="0" borderId="39" xfId="55" applyFont="1" applyBorder="1">
      <alignment vertical="center"/>
    </xf>
    <xf numFmtId="0" fontId="60" fillId="0" borderId="1" xfId="59" applyFont="1" applyBorder="1" applyAlignment="1">
      <alignment vertical="center" shrinkToFit="1"/>
    </xf>
    <xf numFmtId="10" fontId="60" fillId="7" borderId="64" xfId="61" applyNumberFormat="1" applyFont="1" applyFill="1" applyBorder="1" applyAlignment="1">
      <alignment vertical="center"/>
    </xf>
    <xf numFmtId="10" fontId="60" fillId="7" borderId="65" xfId="61" applyNumberFormat="1" applyFont="1" applyFill="1" applyBorder="1" applyAlignment="1">
      <alignment vertical="center"/>
    </xf>
    <xf numFmtId="10" fontId="60" fillId="7" borderId="66" xfId="61" applyNumberFormat="1" applyFont="1" applyFill="1" applyBorder="1" applyAlignment="1">
      <alignment vertical="center"/>
    </xf>
    <xf numFmtId="0" fontId="60" fillId="0" borderId="1" xfId="55" applyFont="1" applyBorder="1">
      <alignment vertical="center"/>
    </xf>
    <xf numFmtId="173" fontId="60" fillId="7" borderId="64" xfId="55" applyNumberFormat="1" applyFont="1" applyFill="1" applyBorder="1">
      <alignment vertical="center"/>
    </xf>
    <xf numFmtId="173" fontId="60" fillId="7" borderId="65" xfId="55" applyNumberFormat="1" applyFont="1" applyFill="1" applyBorder="1">
      <alignment vertical="center"/>
    </xf>
    <xf numFmtId="173" fontId="60" fillId="7" borderId="66" xfId="55" applyNumberFormat="1" applyFont="1" applyFill="1" applyBorder="1">
      <alignment vertical="center"/>
    </xf>
    <xf numFmtId="0" fontId="60" fillId="0" borderId="11" xfId="59" applyFont="1" applyBorder="1" applyAlignment="1">
      <alignment vertical="center" shrinkToFit="1"/>
    </xf>
    <xf numFmtId="0" fontId="60" fillId="0" borderId="11" xfId="55" applyFont="1" applyBorder="1">
      <alignment vertical="center"/>
    </xf>
    <xf numFmtId="0" fontId="74" fillId="23" borderId="9" xfId="59" applyFont="1" applyFill="1" applyBorder="1" applyAlignment="1">
      <alignment horizontal="right" vertical="center" wrapText="1"/>
    </xf>
    <xf numFmtId="0" fontId="74" fillId="23" borderId="19" xfId="59" applyFont="1" applyFill="1" applyBorder="1" applyAlignment="1">
      <alignment horizontal="right" vertical="center" wrapText="1"/>
    </xf>
    <xf numFmtId="0" fontId="74" fillId="23" borderId="19" xfId="55" applyFont="1" applyFill="1" applyBorder="1" applyAlignment="1">
      <alignment horizontal="right" vertical="center"/>
    </xf>
    <xf numFmtId="0" fontId="74" fillId="23" borderId="20" xfId="55" applyFont="1" applyFill="1" applyBorder="1" applyAlignment="1">
      <alignment horizontal="right" vertical="center"/>
    </xf>
    <xf numFmtId="10" fontId="74" fillId="23" borderId="2" xfId="61" applyNumberFormat="1" applyFont="1" applyFill="1" applyBorder="1" applyAlignment="1">
      <alignment horizontal="center" vertical="center" shrinkToFit="1"/>
    </xf>
    <xf numFmtId="0" fontId="74" fillId="23" borderId="2" xfId="55" applyFont="1" applyFill="1" applyBorder="1" applyAlignment="1">
      <alignment horizontal="center" vertical="center" shrinkToFit="1"/>
    </xf>
    <xf numFmtId="0" fontId="60" fillId="0" borderId="9" xfId="55" applyFont="1" applyBorder="1">
      <alignment vertical="center"/>
    </xf>
    <xf numFmtId="0" fontId="60" fillId="0" borderId="19" xfId="55" applyFont="1" applyBorder="1">
      <alignment vertical="center"/>
    </xf>
    <xf numFmtId="0" fontId="62" fillId="23" borderId="9" xfId="59" applyFont="1" applyFill="1" applyBorder="1" applyAlignment="1">
      <alignment horizontal="center" vertical="center"/>
    </xf>
    <xf numFmtId="0" fontId="62" fillId="23" borderId="19" xfId="59" applyFont="1" applyFill="1" applyBorder="1" applyAlignment="1">
      <alignment horizontal="center" vertical="center"/>
    </xf>
    <xf numFmtId="0" fontId="62" fillId="23" borderId="20" xfId="59" applyFont="1" applyFill="1" applyBorder="1" applyAlignment="1">
      <alignment horizontal="center" vertical="center"/>
    </xf>
    <xf numFmtId="0" fontId="60" fillId="0" borderId="32" xfId="59" applyFont="1" applyBorder="1" applyAlignment="1">
      <alignment horizontal="justify" vertical="center" wrapText="1"/>
    </xf>
    <xf numFmtId="0" fontId="60" fillId="0" borderId="13" xfId="59" applyFont="1" applyBorder="1" applyAlignment="1">
      <alignment horizontal="justify" vertical="center" wrapText="1"/>
    </xf>
    <xf numFmtId="0" fontId="60" fillId="0" borderId="39" xfId="59" applyFont="1" applyBorder="1" applyAlignment="1">
      <alignment horizontal="justify" vertical="center" wrapText="1"/>
    </xf>
    <xf numFmtId="0" fontId="60" fillId="7" borderId="21" xfId="67" applyNumberFormat="1" applyFont="1" applyFill="1" applyBorder="1" applyAlignment="1">
      <alignment horizontal="center" vertical="center"/>
    </xf>
    <xf numFmtId="0" fontId="60" fillId="7" borderId="1" xfId="67" applyNumberFormat="1" applyFont="1" applyFill="1" applyBorder="1" applyAlignment="1">
      <alignment horizontal="center" vertical="center"/>
    </xf>
    <xf numFmtId="0" fontId="60" fillId="7" borderId="1" xfId="55" applyFont="1" applyFill="1" applyBorder="1" applyAlignment="1">
      <alignment horizontal="center" vertical="center"/>
    </xf>
    <xf numFmtId="0" fontId="60" fillId="7" borderId="1" xfId="55" applyFont="1" applyFill="1" applyBorder="1">
      <alignment vertical="center"/>
    </xf>
    <xf numFmtId="0" fontId="60" fillId="7" borderId="1" xfId="59" applyFont="1" applyFill="1" applyBorder="1" applyAlignment="1">
      <alignment horizontal="center" vertical="center"/>
    </xf>
    <xf numFmtId="0" fontId="60" fillId="7" borderId="40" xfId="59" applyFont="1" applyFill="1" applyBorder="1" applyAlignment="1">
      <alignment horizontal="center" vertical="center"/>
    </xf>
    <xf numFmtId="0" fontId="60" fillId="0" borderId="8" xfId="59" applyFont="1" applyBorder="1">
      <alignment vertical="center"/>
    </xf>
    <xf numFmtId="10" fontId="60" fillId="0" borderId="2" xfId="59" applyNumberFormat="1" applyFont="1" applyBorder="1" applyAlignment="1">
      <alignment horizontal="center" vertical="center" shrinkToFit="1"/>
    </xf>
    <xf numFmtId="0" fontId="60" fillId="0" borderId="9" xfId="59" applyFont="1" applyBorder="1">
      <alignment vertical="center"/>
    </xf>
    <xf numFmtId="10" fontId="60" fillId="7" borderId="19" xfId="55" applyNumberFormat="1" applyFont="1" applyFill="1" applyBorder="1" applyAlignment="1">
      <alignment horizontal="center" vertical="center"/>
    </xf>
    <xf numFmtId="0" fontId="60" fillId="7" borderId="19" xfId="55" applyFont="1" applyFill="1" applyBorder="1" applyAlignment="1">
      <alignment horizontal="center" vertical="center"/>
    </xf>
    <xf numFmtId="10" fontId="60" fillId="7" borderId="19" xfId="55" applyNumberFormat="1" applyFont="1" applyFill="1" applyBorder="1" applyAlignment="1">
      <alignment horizontal="left" vertical="center"/>
    </xf>
    <xf numFmtId="0" fontId="60" fillId="7" borderId="20" xfId="55" applyFont="1" applyFill="1" applyBorder="1" applyAlignment="1">
      <alignment horizontal="left" vertical="center"/>
    </xf>
    <xf numFmtId="10" fontId="60" fillId="0" borderId="19" xfId="55" applyNumberFormat="1" applyFont="1" applyBorder="1" applyAlignment="1">
      <alignment horizontal="center" vertical="center" shrinkToFit="1"/>
    </xf>
    <xf numFmtId="0" fontId="60" fillId="0" borderId="19" xfId="55" applyFont="1" applyBorder="1" applyAlignment="1">
      <alignment horizontal="center" vertical="center" shrinkToFit="1"/>
    </xf>
    <xf numFmtId="0" fontId="60" fillId="0" borderId="20" xfId="55" applyFont="1" applyBorder="1" applyAlignment="1">
      <alignment horizontal="center" vertical="center" shrinkToFit="1"/>
    </xf>
    <xf numFmtId="10" fontId="60" fillId="0" borderId="13" xfId="61" applyNumberFormat="1" applyFont="1" applyFill="1" applyBorder="1" applyAlignment="1">
      <alignment horizontal="center" vertical="center" shrinkToFit="1"/>
    </xf>
    <xf numFmtId="10" fontId="60" fillId="0" borderId="39" xfId="61" applyNumberFormat="1" applyFont="1" applyFill="1" applyBorder="1" applyAlignment="1">
      <alignment horizontal="center" vertical="center" shrinkToFit="1"/>
    </xf>
    <xf numFmtId="10" fontId="60" fillId="0" borderId="0" xfId="61" applyNumberFormat="1" applyFont="1" applyFill="1" applyBorder="1" applyAlignment="1">
      <alignment horizontal="center" vertical="center" shrinkToFit="1"/>
    </xf>
    <xf numFmtId="10" fontId="60" fillId="0" borderId="38" xfId="61" applyNumberFormat="1" applyFont="1" applyFill="1" applyBorder="1" applyAlignment="1">
      <alignment horizontal="center" vertical="center" shrinkToFit="1"/>
    </xf>
    <xf numFmtId="10" fontId="60" fillId="0" borderId="1" xfId="61" applyNumberFormat="1" applyFont="1" applyFill="1" applyBorder="1" applyAlignment="1">
      <alignment horizontal="center" vertical="center" shrinkToFit="1"/>
    </xf>
    <xf numFmtId="10" fontId="60" fillId="0" borderId="40" xfId="61" applyNumberFormat="1" applyFont="1" applyFill="1" applyBorder="1" applyAlignment="1">
      <alignment horizontal="center" vertical="center" shrinkToFit="1"/>
    </xf>
    <xf numFmtId="0" fontId="74" fillId="23" borderId="2" xfId="59" applyFont="1" applyFill="1" applyBorder="1" applyAlignment="1">
      <alignment horizontal="right" vertical="center"/>
    </xf>
    <xf numFmtId="0" fontId="74" fillId="23" borderId="2" xfId="55" applyFont="1" applyFill="1" applyBorder="1" applyAlignment="1">
      <alignment horizontal="right" vertical="center"/>
    </xf>
    <xf numFmtId="10" fontId="74" fillId="23" borderId="2" xfId="59" applyNumberFormat="1" applyFont="1" applyFill="1" applyBorder="1" applyAlignment="1">
      <alignment horizontal="center" vertical="center" shrinkToFit="1"/>
    </xf>
    <xf numFmtId="0" fontId="60" fillId="0" borderId="32" xfId="59" applyFont="1" applyBorder="1" applyAlignment="1">
      <alignment horizontal="justify" vertical="center"/>
    </xf>
    <xf numFmtId="0" fontId="60" fillId="0" borderId="13" xfId="55" applyFont="1" applyBorder="1" applyAlignment="1">
      <alignment horizontal="justify" vertical="center"/>
    </xf>
    <xf numFmtId="0" fontId="60" fillId="0" borderId="39" xfId="55" applyFont="1" applyBorder="1" applyAlignment="1">
      <alignment horizontal="justify" vertical="center"/>
    </xf>
    <xf numFmtId="10" fontId="60" fillId="7" borderId="21" xfId="67" applyNumberFormat="1" applyFont="1" applyFill="1" applyBorder="1" applyAlignment="1">
      <alignment vertical="center"/>
    </xf>
    <xf numFmtId="10" fontId="60" fillId="7" borderId="1" xfId="67" applyNumberFormat="1" applyFont="1" applyFill="1" applyBorder="1" applyAlignment="1">
      <alignment vertical="center"/>
    </xf>
    <xf numFmtId="10" fontId="60" fillId="7" borderId="1" xfId="61" applyNumberFormat="1" applyFont="1" applyFill="1" applyBorder="1" applyAlignment="1">
      <alignment horizontal="center" vertical="center"/>
    </xf>
    <xf numFmtId="10" fontId="60" fillId="7" borderId="1" xfId="63" applyNumberFormat="1" applyFont="1" applyFill="1" applyBorder="1" applyAlignment="1">
      <alignment vertical="center"/>
    </xf>
    <xf numFmtId="10" fontId="60" fillId="0" borderId="1" xfId="63" applyNumberFormat="1" applyFont="1" applyBorder="1" applyAlignment="1">
      <alignment vertical="center"/>
    </xf>
    <xf numFmtId="0" fontId="60" fillId="0" borderId="13" xfId="55" applyFont="1" applyBorder="1" applyAlignment="1">
      <alignment horizontal="justify" vertical="center" wrapText="1"/>
    </xf>
    <xf numFmtId="0" fontId="60" fillId="0" borderId="39" xfId="55" applyFont="1" applyBorder="1" applyAlignment="1">
      <alignment horizontal="justify" vertical="center" wrapText="1"/>
    </xf>
    <xf numFmtId="0" fontId="60" fillId="0" borderId="21" xfId="55" applyFont="1" applyBorder="1" applyAlignment="1">
      <alignment horizontal="justify" vertical="center" wrapText="1"/>
    </xf>
    <xf numFmtId="0" fontId="60" fillId="0" borderId="1" xfId="55" applyFont="1" applyBorder="1" applyAlignment="1">
      <alignment horizontal="justify" vertical="center" wrapText="1"/>
    </xf>
    <xf numFmtId="0" fontId="60" fillId="0" borderId="40" xfId="55" applyFont="1" applyBorder="1" applyAlignment="1">
      <alignment horizontal="justify" vertical="center" wrapText="1"/>
    </xf>
    <xf numFmtId="172" fontId="60" fillId="0" borderId="2" xfId="59" applyNumberFormat="1" applyFont="1" applyBorder="1" applyAlignment="1">
      <alignment horizontal="center" vertical="center" shrinkToFit="1"/>
    </xf>
    <xf numFmtId="172" fontId="60" fillId="0" borderId="2" xfId="55" applyNumberFormat="1" applyFont="1" applyBorder="1" applyAlignment="1">
      <alignment horizontal="center" vertical="center" shrinkToFit="1"/>
    </xf>
    <xf numFmtId="0" fontId="62" fillId="25" borderId="9" xfId="59" applyFont="1" applyFill="1" applyBorder="1" applyAlignment="1">
      <alignment horizontal="center" vertical="center"/>
    </xf>
    <xf numFmtId="0" fontId="62" fillId="25" borderId="19" xfId="59" applyFont="1" applyFill="1" applyBorder="1" applyAlignment="1">
      <alignment horizontal="center" vertical="center"/>
    </xf>
    <xf numFmtId="0" fontId="62" fillId="25" borderId="13" xfId="59" applyFont="1" applyFill="1" applyBorder="1" applyAlignment="1">
      <alignment horizontal="center" vertical="center"/>
    </xf>
    <xf numFmtId="0" fontId="62" fillId="25" borderId="20" xfId="59" applyFont="1" applyFill="1" applyBorder="1" applyAlignment="1">
      <alignment horizontal="center" vertical="center"/>
    </xf>
    <xf numFmtId="10" fontId="60" fillId="7" borderId="1" xfId="55" applyNumberFormat="1" applyFont="1" applyFill="1" applyBorder="1" applyAlignment="1">
      <alignment horizontal="center" vertical="center"/>
    </xf>
    <xf numFmtId="10" fontId="60" fillId="7" borderId="1" xfId="55" applyNumberFormat="1" applyFont="1" applyFill="1" applyBorder="1">
      <alignment vertical="center"/>
    </xf>
    <xf numFmtId="0" fontId="60" fillId="0" borderId="21" xfId="59" applyFont="1" applyBorder="1" applyAlignment="1">
      <alignment horizontal="center" vertical="center" wrapText="1"/>
    </xf>
    <xf numFmtId="0" fontId="60" fillId="0" borderId="1" xfId="59" applyFont="1" applyBorder="1" applyAlignment="1">
      <alignment horizontal="center" vertical="center" wrapText="1"/>
    </xf>
    <xf numFmtId="0" fontId="60" fillId="0" borderId="40" xfId="59" applyFont="1" applyBorder="1" applyAlignment="1">
      <alignment horizontal="center" vertical="center" wrapText="1"/>
    </xf>
    <xf numFmtId="10" fontId="60" fillId="7" borderId="21" xfId="67" applyNumberFormat="1" applyFont="1" applyFill="1" applyBorder="1" applyAlignment="1">
      <alignment horizontal="center" vertical="center"/>
    </xf>
    <xf numFmtId="10" fontId="60" fillId="7" borderId="1" xfId="67" applyNumberFormat="1" applyFont="1" applyFill="1" applyBorder="1" applyAlignment="1">
      <alignment horizontal="center" vertical="center"/>
    </xf>
    <xf numFmtId="10" fontId="60" fillId="0" borderId="1" xfId="55" applyNumberFormat="1" applyFont="1" applyBorder="1" applyAlignment="1">
      <alignment horizontal="center" vertical="center"/>
    </xf>
    <xf numFmtId="171" fontId="60" fillId="0" borderId="21" xfId="61" applyNumberFormat="1" applyFont="1" applyFill="1" applyBorder="1" applyAlignment="1">
      <alignment horizontal="center" vertical="center" shrinkToFit="1"/>
    </xf>
    <xf numFmtId="171" fontId="60" fillId="0" borderId="1" xfId="61" applyNumberFormat="1" applyFont="1" applyFill="1" applyBorder="1" applyAlignment="1">
      <alignment horizontal="center" vertical="center" shrinkToFit="1"/>
    </xf>
    <xf numFmtId="171" fontId="60" fillId="0" borderId="40" xfId="61" applyNumberFormat="1" applyFont="1" applyFill="1" applyBorder="1" applyAlignment="1">
      <alignment horizontal="center" vertical="center" shrinkToFit="1"/>
    </xf>
    <xf numFmtId="0" fontId="60" fillId="0" borderId="3" xfId="59" applyFont="1" applyBorder="1">
      <alignment vertical="center"/>
    </xf>
    <xf numFmtId="0" fontId="60" fillId="0" borderId="0" xfId="55" applyFont="1">
      <alignment vertical="center"/>
    </xf>
    <xf numFmtId="0" fontId="60" fillId="0" borderId="21" xfId="55" applyFont="1" applyBorder="1">
      <alignment vertical="center"/>
    </xf>
    <xf numFmtId="0" fontId="60" fillId="0" borderId="3" xfId="59" applyFont="1" applyBorder="1" applyAlignment="1">
      <alignment horizontal="justify" vertical="center" wrapText="1"/>
    </xf>
    <xf numFmtId="0" fontId="60" fillId="0" borderId="0" xfId="59" applyFont="1" applyAlignment="1">
      <alignment horizontal="justify" vertical="center" wrapText="1"/>
    </xf>
    <xf numFmtId="0" fontId="60" fillId="0" borderId="38" xfId="59" applyFont="1" applyBorder="1" applyAlignment="1">
      <alignment horizontal="justify" vertical="center" wrapText="1"/>
    </xf>
    <xf numFmtId="0" fontId="62" fillId="0" borderId="9" xfId="55" applyFont="1" applyBorder="1">
      <alignment vertical="center"/>
    </xf>
    <xf numFmtId="0" fontId="62" fillId="0" borderId="19" xfId="55" applyFont="1" applyBorder="1">
      <alignment vertical="center"/>
    </xf>
    <xf numFmtId="0" fontId="62" fillId="0" borderId="20" xfId="55" applyFont="1" applyBorder="1">
      <alignment vertical="center"/>
    </xf>
    <xf numFmtId="10" fontId="62" fillId="0" borderId="9" xfId="61" applyNumberFormat="1" applyFont="1" applyFill="1" applyBorder="1" applyAlignment="1">
      <alignment horizontal="center" vertical="center" shrinkToFit="1"/>
    </xf>
    <xf numFmtId="10" fontId="62" fillId="0" borderId="19" xfId="61" applyNumberFormat="1" applyFont="1" applyFill="1" applyBorder="1" applyAlignment="1">
      <alignment horizontal="center" vertical="center" shrinkToFit="1"/>
    </xf>
    <xf numFmtId="10" fontId="62" fillId="0" borderId="20" xfId="61" applyNumberFormat="1" applyFont="1" applyFill="1" applyBorder="1" applyAlignment="1">
      <alignment horizontal="center" vertical="center" shrinkToFit="1"/>
    </xf>
    <xf numFmtId="0" fontId="60" fillId="0" borderId="9" xfId="55" applyFont="1" applyBorder="1" applyAlignment="1">
      <alignment horizontal="justify" vertical="center" wrapText="1"/>
    </xf>
    <xf numFmtId="0" fontId="60" fillId="0" borderId="19" xfId="55" applyFont="1" applyBorder="1" applyAlignment="1">
      <alignment horizontal="justify" vertical="center" wrapText="1"/>
    </xf>
    <xf numFmtId="0" fontId="60" fillId="0" borderId="20" xfId="55" applyFont="1" applyBorder="1" applyAlignment="1">
      <alignment horizontal="justify" vertical="center" wrapText="1"/>
    </xf>
    <xf numFmtId="10" fontId="60" fillId="7" borderId="1" xfId="55" applyNumberFormat="1" applyFont="1" applyFill="1" applyBorder="1" applyAlignment="1">
      <alignment horizontal="left" vertical="center"/>
    </xf>
    <xf numFmtId="0" fontId="60" fillId="7" borderId="40" xfId="55" applyFont="1" applyFill="1" applyBorder="1" applyAlignment="1">
      <alignment horizontal="left" vertical="center"/>
    </xf>
    <xf numFmtId="172" fontId="60" fillId="0" borderId="19" xfId="55" applyNumberFormat="1" applyFont="1" applyBorder="1" applyAlignment="1">
      <alignment horizontal="center" vertical="center" shrinkToFit="1"/>
    </xf>
    <xf numFmtId="172" fontId="60" fillId="0" borderId="20" xfId="55" applyNumberFormat="1" applyFont="1" applyBorder="1" applyAlignment="1">
      <alignment horizontal="center" vertical="center" shrinkToFit="1"/>
    </xf>
    <xf numFmtId="0" fontId="60" fillId="0" borderId="9" xfId="59" applyFont="1" applyBorder="1" applyAlignment="1">
      <alignment horizontal="justify" vertical="center" wrapText="1"/>
    </xf>
    <xf numFmtId="0" fontId="60" fillId="0" borderId="19" xfId="59" applyFont="1" applyBorder="1" applyAlignment="1">
      <alignment horizontal="justify" vertical="center" wrapText="1"/>
    </xf>
    <xf numFmtId="0" fontId="60" fillId="0" borderId="20" xfId="59" applyFont="1" applyBorder="1" applyAlignment="1">
      <alignment horizontal="justify" vertical="center" wrapText="1"/>
    </xf>
    <xf numFmtId="10" fontId="60" fillId="7" borderId="21" xfId="55" applyNumberFormat="1" applyFont="1" applyFill="1" applyBorder="1" applyAlignment="1">
      <alignment horizontal="center" vertical="center" wrapText="1"/>
    </xf>
    <xf numFmtId="10" fontId="60" fillId="7" borderId="1" xfId="55" applyNumberFormat="1" applyFont="1" applyFill="1" applyBorder="1" applyAlignment="1">
      <alignment horizontal="center" vertical="center" wrapText="1"/>
    </xf>
    <xf numFmtId="10" fontId="62" fillId="7" borderId="1" xfId="63" applyNumberFormat="1" applyFont="1" applyFill="1" applyBorder="1" applyAlignment="1">
      <alignment horizontal="justify" vertical="center" wrapText="1"/>
    </xf>
    <xf numFmtId="172" fontId="60" fillId="0" borderId="9" xfId="61" applyNumberFormat="1" applyFont="1" applyFill="1" applyBorder="1" applyAlignment="1">
      <alignment horizontal="center" vertical="center" shrinkToFit="1"/>
    </xf>
    <xf numFmtId="172" fontId="60" fillId="0" borderId="19" xfId="61" applyNumberFormat="1" applyFont="1" applyFill="1" applyBorder="1" applyAlignment="1">
      <alignment horizontal="center" vertical="center" shrinkToFit="1"/>
    </xf>
    <xf numFmtId="172" fontId="60" fillId="0" borderId="20" xfId="61" applyNumberFormat="1" applyFont="1" applyFill="1" applyBorder="1" applyAlignment="1">
      <alignment horizontal="center" vertical="center" shrinkToFit="1"/>
    </xf>
    <xf numFmtId="10" fontId="60" fillId="7" borderId="3" xfId="55" applyNumberFormat="1" applyFont="1" applyFill="1" applyBorder="1" applyAlignment="1">
      <alignment horizontal="center" vertical="center" wrapText="1"/>
    </xf>
    <xf numFmtId="10" fontId="60" fillId="7" borderId="0" xfId="55" applyNumberFormat="1" applyFont="1" applyFill="1" applyAlignment="1">
      <alignment horizontal="center" vertical="center" wrapText="1"/>
    </xf>
    <xf numFmtId="10" fontId="60" fillId="7" borderId="0" xfId="63" applyNumberFormat="1" applyFont="1" applyFill="1" applyBorder="1" applyAlignment="1">
      <alignment horizontal="justify" vertical="center" wrapText="1"/>
    </xf>
    <xf numFmtId="0" fontId="60" fillId="7" borderId="21" xfId="55" applyFont="1" applyFill="1" applyBorder="1" applyAlignment="1">
      <alignment horizontal="center" vertical="center" wrapText="1"/>
    </xf>
    <xf numFmtId="0" fontId="60" fillId="7" borderId="1" xfId="55" applyFont="1" applyFill="1" applyBorder="1" applyAlignment="1">
      <alignment horizontal="center" vertical="center" wrapText="1"/>
    </xf>
    <xf numFmtId="10" fontId="60" fillId="7" borderId="1" xfId="63" applyNumberFormat="1" applyFont="1" applyFill="1" applyBorder="1" applyAlignment="1">
      <alignment horizontal="justify" vertical="center" wrapText="1"/>
    </xf>
    <xf numFmtId="10" fontId="74" fillId="23" borderId="2" xfId="55" applyNumberFormat="1" applyFont="1" applyFill="1" applyBorder="1" applyAlignment="1">
      <alignment horizontal="center" vertical="center" shrinkToFit="1"/>
    </xf>
    <xf numFmtId="10" fontId="60" fillId="0" borderId="1" xfId="55" applyNumberFormat="1" applyFont="1" applyBorder="1">
      <alignment vertical="center"/>
    </xf>
    <xf numFmtId="0" fontId="60" fillId="0" borderId="2" xfId="55" applyFont="1" applyBorder="1" applyAlignment="1">
      <alignment horizontal="justify" vertical="center" wrapText="1"/>
    </xf>
    <xf numFmtId="10" fontId="60" fillId="0" borderId="32" xfId="55" applyNumberFormat="1" applyFont="1" applyBorder="1" applyAlignment="1">
      <alignment horizontal="justify" vertical="center" wrapText="1"/>
    </xf>
    <xf numFmtId="10" fontId="60" fillId="0" borderId="13" xfId="55" applyNumberFormat="1" applyFont="1" applyBorder="1" applyAlignment="1">
      <alignment horizontal="justify" vertical="center" wrapText="1"/>
    </xf>
    <xf numFmtId="10" fontId="60" fillId="0" borderId="39" xfId="55" applyNumberFormat="1" applyFont="1" applyBorder="1" applyAlignment="1">
      <alignment horizontal="justify" vertical="center" wrapText="1"/>
    </xf>
    <xf numFmtId="10" fontId="60" fillId="0" borderId="3" xfId="55" applyNumberFormat="1" applyFont="1" applyBorder="1" applyAlignment="1">
      <alignment horizontal="justify" vertical="center" wrapText="1"/>
    </xf>
    <xf numFmtId="10" fontId="60" fillId="0" borderId="0" xfId="55" applyNumberFormat="1" applyFont="1" applyAlignment="1">
      <alignment horizontal="justify" vertical="center" wrapText="1"/>
    </xf>
    <xf numFmtId="10" fontId="60" fillId="0" borderId="38" xfId="55" applyNumberFormat="1" applyFont="1" applyBorder="1" applyAlignment="1">
      <alignment horizontal="justify" vertical="center" wrapText="1"/>
    </xf>
    <xf numFmtId="10" fontId="60" fillId="0" borderId="32" xfId="61" applyNumberFormat="1" applyFont="1" applyFill="1" applyBorder="1" applyAlignment="1">
      <alignment horizontal="center" vertical="center" shrinkToFit="1"/>
    </xf>
    <xf numFmtId="10" fontId="60" fillId="0" borderId="3" xfId="61" applyNumberFormat="1" applyFont="1" applyFill="1" applyBorder="1" applyAlignment="1">
      <alignment horizontal="center" vertical="center" shrinkToFit="1"/>
    </xf>
    <xf numFmtId="10" fontId="60" fillId="0" borderId="21" xfId="61" applyNumberFormat="1" applyFont="1" applyFill="1" applyBorder="1" applyAlignment="1">
      <alignment horizontal="center" vertical="center" shrinkToFit="1"/>
    </xf>
    <xf numFmtId="0" fontId="60" fillId="0" borderId="32" xfId="55" applyFont="1" applyBorder="1" applyAlignment="1">
      <alignment horizontal="justify" vertical="center" wrapText="1"/>
    </xf>
    <xf numFmtId="0" fontId="60" fillId="0" borderId="3" xfId="55" applyFont="1" applyBorder="1" applyAlignment="1">
      <alignment horizontal="justify" vertical="center" wrapText="1"/>
    </xf>
    <xf numFmtId="0" fontId="60" fillId="0" borderId="0" xfId="55" applyFont="1" applyAlignment="1">
      <alignment horizontal="justify" vertical="center" wrapText="1"/>
    </xf>
    <xf numFmtId="0" fontId="60" fillId="0" borderId="38" xfId="55" applyFont="1" applyBorder="1" applyAlignment="1">
      <alignment horizontal="justify" vertical="center" wrapText="1"/>
    </xf>
    <xf numFmtId="0" fontId="60" fillId="0" borderId="3" xfId="59" applyFont="1" applyBorder="1" applyAlignment="1">
      <alignment vertical="center" wrapText="1"/>
    </xf>
    <xf numFmtId="0" fontId="60" fillId="0" borderId="0" xfId="55" applyFont="1" applyAlignment="1">
      <alignment vertical="center" wrapText="1"/>
    </xf>
    <xf numFmtId="0" fontId="60" fillId="0" borderId="21" xfId="55" applyFont="1" applyBorder="1" applyAlignment="1">
      <alignment vertical="center" wrapText="1"/>
    </xf>
    <xf numFmtId="0" fontId="60" fillId="0" borderId="1" xfId="55" applyFont="1" applyBorder="1" applyAlignment="1">
      <alignment vertical="center" wrapText="1"/>
    </xf>
    <xf numFmtId="0" fontId="60" fillId="0" borderId="32" xfId="59" applyFont="1" applyBorder="1">
      <alignment vertical="center"/>
    </xf>
    <xf numFmtId="0" fontId="60" fillId="0" borderId="13" xfId="59" applyFont="1" applyBorder="1">
      <alignment vertical="center"/>
    </xf>
    <xf numFmtId="0" fontId="60" fillId="0" borderId="39" xfId="59" applyFont="1" applyBorder="1">
      <alignment vertical="center"/>
    </xf>
    <xf numFmtId="0" fontId="60" fillId="0" borderId="0" xfId="59" applyFont="1">
      <alignment vertical="center"/>
    </xf>
    <xf numFmtId="0" fontId="60" fillId="0" borderId="38" xfId="59" applyFont="1" applyBorder="1">
      <alignment vertical="center"/>
    </xf>
    <xf numFmtId="0" fontId="60" fillId="0" borderId="21" xfId="59" applyFont="1" applyBorder="1">
      <alignment vertical="center"/>
    </xf>
    <xf numFmtId="0" fontId="60" fillId="0" borderId="1" xfId="59" applyFont="1" applyBorder="1">
      <alignment vertical="center"/>
    </xf>
    <xf numFmtId="0" fontId="60" fillId="0" borderId="40" xfId="59" applyFont="1" applyBorder="1">
      <alignment vertical="center"/>
    </xf>
    <xf numFmtId="0" fontId="60" fillId="0" borderId="32" xfId="67" applyNumberFormat="1" applyFont="1" applyFill="1" applyBorder="1" applyAlignment="1">
      <alignment horizontal="justify" vertical="center" wrapText="1"/>
    </xf>
    <xf numFmtId="0" fontId="60" fillId="0" borderId="13" xfId="67" applyNumberFormat="1" applyFont="1" applyFill="1" applyBorder="1" applyAlignment="1">
      <alignment horizontal="justify" vertical="center" wrapText="1"/>
    </xf>
    <xf numFmtId="0" fontId="60" fillId="0" borderId="39" xfId="67" applyNumberFormat="1" applyFont="1" applyFill="1" applyBorder="1" applyAlignment="1">
      <alignment horizontal="justify" vertical="center" wrapText="1"/>
    </xf>
    <xf numFmtId="0" fontId="60" fillId="0" borderId="3" xfId="67" applyNumberFormat="1" applyFont="1" applyFill="1" applyBorder="1" applyAlignment="1">
      <alignment horizontal="justify" vertical="center" wrapText="1"/>
    </xf>
    <xf numFmtId="0" fontId="60" fillId="0" borderId="0" xfId="67" applyNumberFormat="1" applyFont="1" applyFill="1" applyBorder="1" applyAlignment="1">
      <alignment horizontal="justify" vertical="center" wrapText="1"/>
    </xf>
    <xf numFmtId="0" fontId="60" fillId="0" borderId="38" xfId="67" applyNumberFormat="1" applyFont="1" applyFill="1" applyBorder="1" applyAlignment="1">
      <alignment horizontal="justify" vertical="center" wrapText="1"/>
    </xf>
    <xf numFmtId="0" fontId="60" fillId="0" borderId="13" xfId="55" applyFont="1" applyBorder="1" applyAlignment="1">
      <alignment horizontal="center" vertical="center" shrinkToFit="1"/>
    </xf>
    <xf numFmtId="0" fontId="60" fillId="0" borderId="39" xfId="55" applyFont="1" applyBorder="1" applyAlignment="1">
      <alignment horizontal="center" vertical="center" shrinkToFit="1"/>
    </xf>
    <xf numFmtId="0" fontId="60" fillId="0" borderId="0" xfId="55" applyFont="1" applyAlignment="1">
      <alignment horizontal="center" vertical="center" shrinkToFit="1"/>
    </xf>
    <xf numFmtId="0" fontId="60" fillId="0" borderId="38" xfId="55" applyFont="1" applyBorder="1" applyAlignment="1">
      <alignment horizontal="center" vertical="center" shrinkToFit="1"/>
    </xf>
    <xf numFmtId="0" fontId="60" fillId="0" borderId="21" xfId="55" applyFont="1" applyBorder="1" applyAlignment="1">
      <alignment horizontal="center" vertical="center" shrinkToFit="1"/>
    </xf>
    <xf numFmtId="0" fontId="60" fillId="0" borderId="1" xfId="55" applyFont="1" applyBorder="1" applyAlignment="1">
      <alignment horizontal="center" vertical="center" shrinkToFit="1"/>
    </xf>
    <xf numFmtId="0" fontId="60" fillId="0" borderId="40" xfId="55" applyFont="1" applyBorder="1" applyAlignment="1">
      <alignment horizontal="center" vertical="center" shrinkToFit="1"/>
    </xf>
    <xf numFmtId="10" fontId="60" fillId="7" borderId="9" xfId="55" applyNumberFormat="1" applyFont="1" applyFill="1" applyBorder="1" applyAlignment="1">
      <alignment horizontal="center" vertical="center" shrinkToFit="1"/>
    </xf>
    <xf numFmtId="10" fontId="60" fillId="7" borderId="19" xfId="55" applyNumberFormat="1" applyFont="1" applyFill="1" applyBorder="1" applyAlignment="1">
      <alignment horizontal="center" vertical="center" shrinkToFit="1"/>
    </xf>
    <xf numFmtId="10" fontId="60" fillId="7" borderId="20" xfId="55" applyNumberFormat="1" applyFont="1" applyFill="1" applyBorder="1" applyAlignment="1">
      <alignment horizontal="center" vertical="center" shrinkToFit="1"/>
    </xf>
    <xf numFmtId="10" fontId="60" fillId="0" borderId="9" xfId="55" applyNumberFormat="1" applyFont="1" applyBorder="1" applyAlignment="1">
      <alignment horizontal="center" vertical="center" shrinkToFit="1"/>
    </xf>
    <xf numFmtId="10" fontId="60" fillId="0" borderId="20" xfId="55" applyNumberFormat="1" applyFont="1" applyBorder="1" applyAlignment="1">
      <alignment horizontal="center" vertical="center" shrinkToFit="1"/>
    </xf>
    <xf numFmtId="0" fontId="74" fillId="23" borderId="9" xfId="59" applyFont="1" applyFill="1" applyBorder="1" applyAlignment="1">
      <alignment horizontal="right" vertical="center"/>
    </xf>
    <xf numFmtId="0" fontId="74" fillId="23" borderId="19" xfId="59" applyFont="1" applyFill="1" applyBorder="1" applyAlignment="1">
      <alignment horizontal="right" vertical="center"/>
    </xf>
    <xf numFmtId="0" fontId="74" fillId="23" borderId="20" xfId="59" applyFont="1" applyFill="1" applyBorder="1" applyAlignment="1">
      <alignment horizontal="right" vertical="center"/>
    </xf>
    <xf numFmtId="10" fontId="74" fillId="23" borderId="9" xfId="59" applyNumberFormat="1" applyFont="1" applyFill="1" applyBorder="1" applyAlignment="1">
      <alignment horizontal="center" vertical="center" shrinkToFit="1"/>
    </xf>
    <xf numFmtId="10" fontId="74" fillId="23" borderId="19" xfId="59" applyNumberFormat="1" applyFont="1" applyFill="1" applyBorder="1" applyAlignment="1">
      <alignment horizontal="center" vertical="center" shrinkToFit="1"/>
    </xf>
    <xf numFmtId="10" fontId="74" fillId="23" borderId="20" xfId="59" applyNumberFormat="1" applyFont="1" applyFill="1" applyBorder="1" applyAlignment="1">
      <alignment horizontal="center" vertical="center" shrinkToFit="1"/>
    </xf>
    <xf numFmtId="0" fontId="62" fillId="25" borderId="2" xfId="59" applyFont="1" applyFill="1" applyBorder="1" applyAlignment="1">
      <alignment horizontal="center" vertical="center" wrapText="1"/>
    </xf>
    <xf numFmtId="0" fontId="60" fillId="25" borderId="2" xfId="55" applyFont="1" applyFill="1" applyBorder="1">
      <alignment vertical="center"/>
    </xf>
    <xf numFmtId="0" fontId="75" fillId="0" borderId="2" xfId="59" applyFont="1" applyBorder="1" applyAlignment="1">
      <alignment horizontal="justify" vertical="center" wrapText="1"/>
    </xf>
    <xf numFmtId="0" fontId="75" fillId="0" borderId="2" xfId="55" applyFont="1" applyBorder="1" applyAlignment="1">
      <alignment horizontal="justify" vertical="center"/>
    </xf>
    <xf numFmtId="10" fontId="75" fillId="0" borderId="2" xfId="61" applyNumberFormat="1" applyFont="1" applyFill="1" applyBorder="1" applyAlignment="1">
      <alignment horizontal="center" vertical="center" shrinkToFit="1"/>
    </xf>
    <xf numFmtId="0" fontId="75" fillId="0" borderId="2" xfId="55" applyFont="1" applyBorder="1" applyAlignment="1">
      <alignment horizontal="center" vertical="center" shrinkToFit="1"/>
    </xf>
    <xf numFmtId="0" fontId="62" fillId="25" borderId="2" xfId="59" applyFont="1" applyFill="1" applyBorder="1" applyAlignment="1">
      <alignment horizontal="right" vertical="center" wrapText="1"/>
    </xf>
    <xf numFmtId="0" fontId="60" fillId="25" borderId="2" xfId="55" applyFont="1" applyFill="1" applyBorder="1" applyAlignment="1">
      <alignment horizontal="right" vertical="center"/>
    </xf>
    <xf numFmtId="10" fontId="62" fillId="25" borderId="2" xfId="61" applyNumberFormat="1" applyFont="1" applyFill="1" applyBorder="1" applyAlignment="1">
      <alignment horizontal="center" vertical="center" shrinkToFit="1"/>
    </xf>
    <xf numFmtId="0" fontId="60" fillId="25" borderId="2" xfId="55" applyFont="1" applyFill="1" applyBorder="1" applyAlignment="1">
      <alignment horizontal="center" vertical="center" shrinkToFit="1"/>
    </xf>
    <xf numFmtId="0" fontId="62" fillId="23" borderId="2" xfId="61" applyNumberFormat="1" applyFont="1" applyFill="1" applyBorder="1" applyAlignment="1">
      <alignment horizontal="center" vertical="center"/>
    </xf>
    <xf numFmtId="0" fontId="62" fillId="23" borderId="2" xfId="4" applyNumberFormat="1" applyFont="1" applyFill="1" applyBorder="1" applyAlignment="1">
      <alignment horizontal="center" vertical="center"/>
    </xf>
    <xf numFmtId="0" fontId="62" fillId="23" borderId="2" xfId="59" applyFont="1" applyFill="1" applyBorder="1" applyAlignment="1">
      <alignment horizontal="center" vertical="center"/>
    </xf>
    <xf numFmtId="49" fontId="62" fillId="0" borderId="9" xfId="32" applyNumberFormat="1" applyFont="1" applyBorder="1" applyAlignment="1">
      <alignment horizontal="center" vertical="center"/>
    </xf>
    <xf numFmtId="49" fontId="62" fillId="0" borderId="20" xfId="32" applyNumberFormat="1" applyFont="1" applyBorder="1" applyAlignment="1">
      <alignment horizontal="center" vertical="center"/>
    </xf>
    <xf numFmtId="0" fontId="62" fillId="0" borderId="9" xfId="32" applyFont="1" applyBorder="1" applyAlignment="1">
      <alignment horizontal="center" vertical="center"/>
    </xf>
    <xf numFmtId="0" fontId="62" fillId="0" borderId="20" xfId="32" applyFont="1" applyBorder="1" applyAlignment="1">
      <alignment horizontal="center" vertical="center"/>
    </xf>
    <xf numFmtId="0" fontId="60" fillId="0" borderId="9" xfId="23" applyFont="1" applyBorder="1" applyAlignment="1">
      <alignment horizontal="center" vertical="center"/>
    </xf>
    <xf numFmtId="0" fontId="60" fillId="0" borderId="19" xfId="23" applyFont="1" applyBorder="1" applyAlignment="1">
      <alignment horizontal="center" vertical="center"/>
    </xf>
    <xf numFmtId="0" fontId="60" fillId="0" borderId="20" xfId="23" applyFont="1" applyBorder="1" applyAlignment="1">
      <alignment horizontal="center" vertical="center"/>
    </xf>
    <xf numFmtId="0" fontId="60" fillId="0" borderId="9" xfId="4" applyNumberFormat="1" applyFont="1" applyFill="1" applyBorder="1" applyAlignment="1">
      <alignment horizontal="left" vertical="center"/>
    </xf>
    <xf numFmtId="0" fontId="60" fillId="0" borderId="19" xfId="4" applyNumberFormat="1" applyFont="1" applyFill="1" applyBorder="1" applyAlignment="1">
      <alignment horizontal="left" vertical="center"/>
    </xf>
    <xf numFmtId="0" fontId="60" fillId="0" borderId="20" xfId="4" applyNumberFormat="1" applyFont="1" applyFill="1" applyBorder="1" applyAlignment="1">
      <alignment horizontal="left" vertical="center"/>
    </xf>
    <xf numFmtId="0" fontId="60" fillId="18" borderId="8" xfId="39" applyFont="1" applyFill="1" applyBorder="1" applyAlignment="1">
      <alignment horizontal="center" vertical="center" wrapText="1"/>
    </xf>
    <xf numFmtId="0" fontId="60" fillId="18" borderId="11" xfId="39" applyFont="1" applyFill="1" applyBorder="1" applyAlignment="1">
      <alignment horizontal="center" vertical="center" wrapText="1"/>
    </xf>
    <xf numFmtId="0" fontId="60" fillId="18" borderId="31" xfId="39" applyFont="1" applyFill="1" applyBorder="1" applyAlignment="1">
      <alignment horizontal="center" vertical="center" wrapText="1"/>
    </xf>
    <xf numFmtId="0" fontId="60" fillId="0" borderId="2" xfId="59" applyFont="1" applyBorder="1" applyAlignment="1">
      <alignment horizontal="center" vertical="center"/>
    </xf>
    <xf numFmtId="0" fontId="60" fillId="0" borderId="8" xfId="59" applyFont="1" applyBorder="1" applyAlignment="1">
      <alignment horizontal="center" vertical="center"/>
    </xf>
    <xf numFmtId="0" fontId="60" fillId="0" borderId="31" xfId="59" applyFont="1" applyBorder="1" applyAlignment="1">
      <alignment horizontal="center" vertical="center"/>
    </xf>
    <xf numFmtId="0" fontId="60" fillId="0" borderId="11" xfId="59" applyFont="1" applyBorder="1" applyAlignment="1">
      <alignment horizontal="center" vertical="center"/>
    </xf>
    <xf numFmtId="10" fontId="60" fillId="0" borderId="9" xfId="61" applyNumberFormat="1" applyFont="1" applyFill="1" applyBorder="1" applyAlignment="1">
      <alignment horizontal="center" vertical="center" shrinkToFit="1"/>
    </xf>
    <xf numFmtId="0" fontId="60" fillId="0" borderId="9" xfId="55" applyFont="1" applyBorder="1" applyAlignment="1">
      <alignment horizontal="center" vertical="center" shrinkToFit="1"/>
    </xf>
    <xf numFmtId="0" fontId="65" fillId="0" borderId="9" xfId="95" applyFont="1" applyBorder="1" applyAlignment="1">
      <alignment horizontal="justify" vertical="center" wrapText="1"/>
    </xf>
    <xf numFmtId="0" fontId="65" fillId="0" borderId="19" xfId="95" applyFont="1" applyBorder="1" applyAlignment="1">
      <alignment horizontal="justify" vertical="center" wrapText="1"/>
    </xf>
    <xf numFmtId="0" fontId="65" fillId="0" borderId="20" xfId="95" applyFont="1" applyBorder="1" applyAlignment="1">
      <alignment horizontal="justify" vertical="center" wrapText="1"/>
    </xf>
    <xf numFmtId="0" fontId="63" fillId="36" borderId="9" xfId="91" applyFont="1" applyFill="1" applyBorder="1" applyAlignment="1">
      <alignment horizontal="center" vertical="center" wrapText="1"/>
    </xf>
    <xf numFmtId="0" fontId="63" fillId="36" borderId="19" xfId="91" applyFont="1" applyFill="1" applyBorder="1" applyAlignment="1">
      <alignment horizontal="center" vertical="center" wrapText="1"/>
    </xf>
    <xf numFmtId="0" fontId="63" fillId="36" borderId="20" xfId="91" applyFont="1" applyFill="1" applyBorder="1" applyAlignment="1">
      <alignment horizontal="center" vertical="center" wrapText="1"/>
    </xf>
    <xf numFmtId="0" fontId="62" fillId="0" borderId="2" xfId="92" applyFont="1" applyBorder="1" applyAlignment="1">
      <alignment horizontal="center" vertical="center" wrapText="1"/>
    </xf>
    <xf numFmtId="0" fontId="62" fillId="38" borderId="9" xfId="91" applyFont="1" applyFill="1" applyBorder="1" applyAlignment="1">
      <alignment horizontal="right" vertical="center" wrapText="1"/>
    </xf>
    <xf numFmtId="0" fontId="62" fillId="38" borderId="20" xfId="91" applyFont="1" applyFill="1" applyBorder="1" applyAlignment="1">
      <alignment horizontal="right" vertical="center" wrapText="1"/>
    </xf>
    <xf numFmtId="0" fontId="74" fillId="37" borderId="2" xfId="91" applyFont="1" applyFill="1" applyBorder="1" applyAlignment="1">
      <alignment horizontal="right" vertical="center" wrapText="1"/>
    </xf>
    <xf numFmtId="0" fontId="75" fillId="37" borderId="2" xfId="91" applyFont="1" applyFill="1" applyBorder="1" applyAlignment="1">
      <alignment horizontal="right" vertical="center" wrapText="1"/>
    </xf>
    <xf numFmtId="0" fontId="62" fillId="39" borderId="2" xfId="91" applyFont="1" applyFill="1" applyBorder="1" applyAlignment="1">
      <alignment horizontal="right" vertical="center" wrapText="1"/>
    </xf>
    <xf numFmtId="0" fontId="60" fillId="39" borderId="2" xfId="91" applyFont="1" applyFill="1" applyBorder="1" applyAlignment="1">
      <alignment horizontal="right" vertical="center" wrapText="1"/>
    </xf>
    <xf numFmtId="0" fontId="65" fillId="0" borderId="21" xfId="95" applyFont="1" applyBorder="1" applyAlignment="1">
      <alignment horizontal="center" vertical="center" wrapText="1"/>
    </xf>
    <xf numFmtId="0" fontId="65" fillId="0" borderId="1" xfId="95" applyFont="1" applyBorder="1" applyAlignment="1">
      <alignment horizontal="center" vertical="center" wrapText="1"/>
    </xf>
    <xf numFmtId="0" fontId="62" fillId="39" borderId="41" xfId="91" applyFont="1" applyFill="1" applyBorder="1" applyAlignment="1">
      <alignment horizontal="right" vertical="center" wrapText="1"/>
    </xf>
    <xf numFmtId="0" fontId="60" fillId="39" borderId="41" xfId="91" applyFont="1" applyFill="1" applyBorder="1" applyAlignment="1">
      <alignment horizontal="right" vertical="center" wrapText="1"/>
    </xf>
    <xf numFmtId="0" fontId="62" fillId="15" borderId="9" xfId="0" applyFont="1" applyFill="1" applyBorder="1" applyAlignment="1">
      <alignment horizontal="center" vertical="center" wrapText="1"/>
    </xf>
    <xf numFmtId="0" fontId="62" fillId="15" borderId="19" xfId="0" applyFont="1" applyFill="1" applyBorder="1" applyAlignment="1">
      <alignment horizontal="center" vertical="center" wrapText="1"/>
    </xf>
    <xf numFmtId="0" fontId="62" fillId="15" borderId="20" xfId="0" applyFont="1" applyFill="1" applyBorder="1" applyAlignment="1">
      <alignment horizontal="center" vertical="center" wrapText="1"/>
    </xf>
    <xf numFmtId="0" fontId="60" fillId="0" borderId="2" xfId="43" applyFont="1" applyBorder="1" applyAlignment="1">
      <alignment horizontal="justify" vertical="center" wrapText="1"/>
    </xf>
    <xf numFmtId="0" fontId="62" fillId="0" borderId="2" xfId="0" applyFont="1" applyBorder="1" applyAlignment="1">
      <alignment horizontal="center" vertical="center" wrapText="1"/>
    </xf>
    <xf numFmtId="0" fontId="62" fillId="0" borderId="0" xfId="43" applyFont="1" applyAlignment="1">
      <alignment horizontal="center" vertical="center"/>
    </xf>
    <xf numFmtId="0" fontId="62" fillId="16" borderId="2" xfId="0" applyFont="1" applyFill="1" applyBorder="1" applyAlignment="1">
      <alignment horizontal="center" vertical="center" wrapText="1"/>
    </xf>
    <xf numFmtId="0" fontId="62" fillId="16" borderId="9" xfId="0" applyFont="1" applyFill="1" applyBorder="1" applyAlignment="1">
      <alignment horizontal="center" vertical="center" wrapText="1"/>
    </xf>
    <xf numFmtId="0" fontId="60" fillId="0" borderId="46" xfId="43" applyFont="1" applyBorder="1" applyAlignment="1">
      <alignment horizontal="center" vertical="center"/>
    </xf>
    <xf numFmtId="0" fontId="60" fillId="0" borderId="47" xfId="43" applyFont="1" applyBorder="1" applyAlignment="1">
      <alignment horizontal="center" vertical="center"/>
    </xf>
    <xf numFmtId="0" fontId="60" fillId="0" borderId="45" xfId="43" applyFont="1" applyBorder="1" applyAlignment="1">
      <alignment horizontal="center" vertical="center"/>
    </xf>
    <xf numFmtId="0" fontId="62" fillId="16" borderId="19" xfId="0" applyFont="1" applyFill="1" applyBorder="1" applyAlignment="1">
      <alignment horizontal="center" vertical="center" wrapText="1"/>
    </xf>
    <xf numFmtId="0" fontId="60" fillId="0" borderId="2" xfId="0" applyFont="1" applyBorder="1" applyAlignment="1">
      <alignment horizontal="center" vertical="center"/>
    </xf>
    <xf numFmtId="0" fontId="60" fillId="0" borderId="8" xfId="0" applyFont="1" applyBorder="1" applyAlignment="1">
      <alignment horizontal="center" vertical="center"/>
    </xf>
    <xf numFmtId="0" fontId="62" fillId="0" borderId="21"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40" xfId="0" applyFont="1" applyBorder="1" applyAlignment="1">
      <alignment horizontal="center" vertical="center" wrapText="1"/>
    </xf>
    <xf numFmtId="0" fontId="62" fillId="15" borderId="21" xfId="43" applyFont="1" applyFill="1" applyBorder="1" applyAlignment="1">
      <alignment horizontal="center" vertical="center" wrapText="1"/>
    </xf>
    <xf numFmtId="0" fontId="62" fillId="15" borderId="1" xfId="43" applyFont="1" applyFill="1" applyBorder="1" applyAlignment="1">
      <alignment horizontal="center" vertical="center" wrapText="1"/>
    </xf>
    <xf numFmtId="0" fontId="37" fillId="19" borderId="57" xfId="0" applyFont="1" applyFill="1" applyBorder="1" applyAlignment="1">
      <alignment horizontal="center" vertical="center"/>
    </xf>
    <xf numFmtId="0" fontId="37" fillId="19" borderId="58" xfId="0" applyFont="1" applyFill="1" applyBorder="1" applyAlignment="1">
      <alignment horizontal="center" vertical="center"/>
    </xf>
    <xf numFmtId="0" fontId="37" fillId="19" borderId="59" xfId="0" applyFont="1" applyFill="1" applyBorder="1" applyAlignment="1">
      <alignment horizontal="center" vertical="center"/>
    </xf>
    <xf numFmtId="0" fontId="9" fillId="25" borderId="9" xfId="0" applyFont="1" applyFill="1" applyBorder="1" applyAlignment="1">
      <alignment horizontal="center" vertical="center"/>
    </xf>
    <xf numFmtId="0" fontId="9" fillId="25" borderId="19" xfId="0" applyFont="1" applyFill="1" applyBorder="1" applyAlignment="1">
      <alignment horizontal="center" vertical="center"/>
    </xf>
    <xf numFmtId="0" fontId="9" fillId="25" borderId="20" xfId="0" applyFont="1" applyFill="1" applyBorder="1" applyAlignment="1">
      <alignment horizontal="center" vertical="center"/>
    </xf>
    <xf numFmtId="0" fontId="19" fillId="0" borderId="9" xfId="43" applyFont="1" applyBorder="1" applyAlignment="1">
      <alignment horizontal="justify" vertical="center" wrapText="1"/>
    </xf>
    <xf numFmtId="0" fontId="19" fillId="0" borderId="19" xfId="43" applyFont="1" applyBorder="1" applyAlignment="1">
      <alignment horizontal="justify" vertical="center" wrapText="1"/>
    </xf>
    <xf numFmtId="0" fontId="19" fillId="0" borderId="20" xfId="43" applyFont="1" applyBorder="1" applyAlignment="1">
      <alignment horizontal="justify" vertical="center" wrapText="1"/>
    </xf>
    <xf numFmtId="0" fontId="9" fillId="19" borderId="33" xfId="0" applyFont="1" applyFill="1" applyBorder="1" applyAlignment="1">
      <alignment horizontal="center" vertical="center"/>
    </xf>
    <xf numFmtId="0" fontId="9" fillId="19" borderId="34" xfId="0" applyFont="1" applyFill="1" applyBorder="1" applyAlignment="1">
      <alignment horizontal="center" vertical="center"/>
    </xf>
    <xf numFmtId="0" fontId="9" fillId="19" borderId="35" xfId="0" applyFont="1" applyFill="1" applyBorder="1" applyAlignment="1">
      <alignment horizontal="center" vertical="center"/>
    </xf>
    <xf numFmtId="0" fontId="9" fillId="28" borderId="9" xfId="43" applyFont="1" applyFill="1" applyBorder="1" applyAlignment="1">
      <alignment horizontal="center" vertical="center"/>
    </xf>
    <xf numFmtId="0" fontId="9" fillId="28" borderId="19" xfId="43" applyFont="1" applyFill="1" applyBorder="1" applyAlignment="1">
      <alignment horizontal="center" vertical="center"/>
    </xf>
    <xf numFmtId="0" fontId="9" fillId="28" borderId="20" xfId="43" applyFont="1" applyFill="1" applyBorder="1" applyAlignment="1">
      <alignment horizontal="center" vertical="center"/>
    </xf>
    <xf numFmtId="0" fontId="58" fillId="0" borderId="2" xfId="43" applyFont="1" applyBorder="1" applyAlignment="1">
      <alignment horizontal="justify" vertical="center"/>
    </xf>
    <xf numFmtId="0" fontId="5" fillId="12" borderId="4" xfId="53" applyFont="1" applyFill="1" applyBorder="1" applyAlignment="1">
      <alignment horizontal="center" vertical="center"/>
    </xf>
    <xf numFmtId="0" fontId="5" fillId="12" borderId="5" xfId="53" applyFont="1" applyFill="1" applyBorder="1" applyAlignment="1">
      <alignment horizontal="center" vertical="center"/>
    </xf>
    <xf numFmtId="0" fontId="5" fillId="0" borderId="2" xfId="53" applyFont="1" applyBorder="1" applyAlignment="1">
      <alignment horizontal="center" vertical="center" wrapText="1"/>
    </xf>
    <xf numFmtId="0" fontId="9" fillId="3" borderId="16" xfId="53" applyFont="1" applyFill="1" applyBorder="1" applyAlignment="1">
      <alignment horizontal="center" vertical="center"/>
    </xf>
    <xf numFmtId="0" fontId="9" fillId="3" borderId="17" xfId="53" applyFont="1" applyFill="1" applyBorder="1" applyAlignment="1">
      <alignment horizontal="center" vertical="center"/>
    </xf>
    <xf numFmtId="0" fontId="5" fillId="12" borderId="16" xfId="53" applyFont="1" applyFill="1" applyBorder="1" applyAlignment="1">
      <alignment horizontal="center" vertical="center"/>
    </xf>
    <xf numFmtId="0" fontId="5" fillId="12" borderId="17" xfId="53" applyFont="1" applyFill="1" applyBorder="1" applyAlignment="1">
      <alignment horizontal="center" vertical="center"/>
    </xf>
    <xf numFmtId="0" fontId="5" fillId="13" borderId="12" xfId="53" applyFont="1" applyFill="1" applyBorder="1" applyAlignment="1">
      <alignment horizontal="center" vertical="center"/>
    </xf>
    <xf numFmtId="0" fontId="5" fillId="13" borderId="2" xfId="53" applyFont="1" applyFill="1" applyBorder="1" applyAlignment="1">
      <alignment horizontal="center" vertical="center"/>
    </xf>
    <xf numFmtId="168" fontId="4" fillId="0" borderId="2" xfId="53" applyNumberFormat="1" applyFont="1" applyBorder="1" applyAlignment="1">
      <alignment horizontal="center" vertical="center"/>
    </xf>
    <xf numFmtId="168" fontId="5" fillId="0" borderId="2" xfId="53" applyNumberFormat="1" applyFont="1" applyBorder="1" applyAlignment="1">
      <alignment horizontal="center" vertical="center"/>
    </xf>
    <xf numFmtId="0" fontId="5" fillId="8" borderId="9" xfId="53" applyFont="1" applyFill="1" applyBorder="1" applyAlignment="1">
      <alignment horizontal="center" vertical="center"/>
    </xf>
    <xf numFmtId="0" fontId="5" fillId="8" borderId="19" xfId="53" applyFont="1" applyFill="1" applyBorder="1" applyAlignment="1">
      <alignment horizontal="center" vertical="center"/>
    </xf>
    <xf numFmtId="0" fontId="5" fillId="8" borderId="20" xfId="53" applyFont="1" applyFill="1" applyBorder="1" applyAlignment="1">
      <alignment horizontal="center" vertical="center"/>
    </xf>
    <xf numFmtId="168" fontId="15" fillId="10" borderId="2" xfId="49" applyNumberFormat="1" applyFont="1" applyFill="1" applyBorder="1" applyAlignment="1">
      <alignment horizontal="center" vertical="center"/>
    </xf>
    <xf numFmtId="168" fontId="16" fillId="0" borderId="2" xfId="49" applyNumberFormat="1" applyFont="1" applyBorder="1" applyAlignment="1">
      <alignment horizontal="center" vertical="center"/>
    </xf>
    <xf numFmtId="0" fontId="5" fillId="4" borderId="7" xfId="53" applyFont="1" applyFill="1" applyBorder="1" applyAlignment="1">
      <alignment horizontal="center" vertical="center"/>
    </xf>
    <xf numFmtId="0" fontId="5" fillId="4" borderId="10" xfId="53" applyFont="1" applyFill="1" applyBorder="1" applyAlignment="1">
      <alignment horizontal="center" vertical="center"/>
    </xf>
    <xf numFmtId="168" fontId="5" fillId="4" borderId="8" xfId="53" applyNumberFormat="1" applyFont="1" applyFill="1" applyBorder="1" applyAlignment="1">
      <alignment horizontal="center" vertical="center"/>
    </xf>
    <xf numFmtId="168" fontId="5" fillId="4" borderId="11" xfId="53" applyNumberFormat="1" applyFont="1" applyFill="1" applyBorder="1" applyAlignment="1">
      <alignment horizontal="center" vertical="center"/>
    </xf>
    <xf numFmtId="0" fontId="4" fillId="0" borderId="2" xfId="53" applyFont="1" applyBorder="1" applyAlignment="1">
      <alignment horizontal="center" vertical="center" wrapText="1"/>
    </xf>
    <xf numFmtId="0" fontId="4" fillId="0" borderId="2" xfId="53" applyFont="1" applyBorder="1" applyAlignment="1">
      <alignment horizontal="center" vertical="center"/>
    </xf>
    <xf numFmtId="0" fontId="6" fillId="2" borderId="2" xfId="53" applyFont="1" applyFill="1" applyBorder="1" applyAlignment="1">
      <alignment horizontal="center" vertical="center" wrapText="1"/>
    </xf>
    <xf numFmtId="0" fontId="5" fillId="3" borderId="4" xfId="53" applyFont="1" applyFill="1" applyBorder="1" applyAlignment="1">
      <alignment horizontal="center" vertical="center"/>
    </xf>
    <xf numFmtId="0" fontId="5" fillId="3" borderId="5" xfId="53" applyFont="1" applyFill="1" applyBorder="1" applyAlignment="1">
      <alignment horizontal="center" vertical="center"/>
    </xf>
    <xf numFmtId="0" fontId="5" fillId="3" borderId="6" xfId="53" applyFont="1" applyFill="1" applyBorder="1" applyAlignment="1">
      <alignment horizontal="center" vertical="center"/>
    </xf>
    <xf numFmtId="0" fontId="5" fillId="3" borderId="4" xfId="52" applyFont="1" applyFill="1" applyBorder="1" applyAlignment="1">
      <alignment horizontal="center" vertical="center"/>
    </xf>
    <xf numFmtId="0" fontId="5" fillId="3" borderId="5" xfId="52" applyFont="1" applyFill="1" applyBorder="1" applyAlignment="1">
      <alignment horizontal="center" vertical="center"/>
    </xf>
    <xf numFmtId="0" fontId="5" fillId="3" borderId="6" xfId="52" applyFont="1" applyFill="1" applyBorder="1" applyAlignment="1">
      <alignment horizontal="center" vertical="center"/>
    </xf>
    <xf numFmtId="0" fontId="5" fillId="12" borderId="4" xfId="52" applyFont="1" applyFill="1" applyBorder="1" applyAlignment="1">
      <alignment horizontal="center" vertical="center"/>
    </xf>
    <xf numFmtId="0" fontId="5" fillId="12" borderId="5" xfId="52" applyFont="1" applyFill="1" applyBorder="1" applyAlignment="1">
      <alignment horizontal="center" vertical="center"/>
    </xf>
    <xf numFmtId="0" fontId="5" fillId="0" borderId="2" xfId="52" applyFont="1" applyBorder="1" applyAlignment="1">
      <alignment horizontal="center" vertical="center" wrapText="1"/>
    </xf>
    <xf numFmtId="0" fontId="9" fillId="3" borderId="16" xfId="52" applyFont="1" applyFill="1" applyBorder="1" applyAlignment="1">
      <alignment horizontal="center" vertical="center"/>
    </xf>
    <xf numFmtId="0" fontId="9" fillId="3" borderId="17" xfId="52" applyFont="1" applyFill="1" applyBorder="1" applyAlignment="1">
      <alignment horizontal="center" vertical="center"/>
    </xf>
    <xf numFmtId="0" fontId="5" fillId="4" borderId="19" xfId="52" applyFont="1" applyFill="1" applyBorder="1" applyAlignment="1">
      <alignment horizontal="right" vertical="center"/>
    </xf>
    <xf numFmtId="0" fontId="5" fillId="4" borderId="20" xfId="52" applyFont="1" applyFill="1" applyBorder="1" applyAlignment="1">
      <alignment horizontal="right" vertical="center"/>
    </xf>
    <xf numFmtId="0" fontId="5" fillId="12" borderId="16" xfId="52" applyFont="1" applyFill="1" applyBorder="1" applyAlignment="1">
      <alignment horizontal="center" vertical="center"/>
    </xf>
    <xf numFmtId="0" fontId="5" fillId="12" borderId="17" xfId="52" applyFont="1" applyFill="1" applyBorder="1" applyAlignment="1">
      <alignment horizontal="center" vertical="center"/>
    </xf>
    <xf numFmtId="0" fontId="5" fillId="4" borderId="7" xfId="52" applyFont="1" applyFill="1" applyBorder="1" applyAlignment="1">
      <alignment horizontal="center" vertical="center"/>
    </xf>
    <xf numFmtId="0" fontId="5" fillId="4" borderId="10" xfId="52" applyFont="1" applyFill="1" applyBorder="1" applyAlignment="1">
      <alignment horizontal="center" vertical="center"/>
    </xf>
    <xf numFmtId="168" fontId="5" fillId="4" borderId="8" xfId="52" applyNumberFormat="1" applyFont="1" applyFill="1" applyBorder="1" applyAlignment="1">
      <alignment horizontal="center" vertical="center"/>
    </xf>
    <xf numFmtId="168" fontId="5" fillId="4" borderId="11" xfId="52" applyNumberFormat="1" applyFont="1" applyFill="1" applyBorder="1" applyAlignment="1">
      <alignment horizontal="center" vertical="center"/>
    </xf>
    <xf numFmtId="0" fontId="5" fillId="13" borderId="12" xfId="52" applyFont="1" applyFill="1" applyBorder="1" applyAlignment="1">
      <alignment horizontal="center" vertical="center"/>
    </xf>
    <xf numFmtId="0" fontId="5" fillId="13" borderId="2" xfId="52" applyFont="1" applyFill="1" applyBorder="1" applyAlignment="1">
      <alignment horizontal="center" vertical="center"/>
    </xf>
    <xf numFmtId="0" fontId="6" fillId="2" borderId="2" xfId="52" applyFont="1" applyFill="1" applyBorder="1" applyAlignment="1">
      <alignment horizontal="center" vertical="center" wrapText="1"/>
    </xf>
    <xf numFmtId="0" fontId="4" fillId="0" borderId="2" xfId="52" applyFont="1" applyBorder="1" applyAlignment="1">
      <alignment horizontal="center" vertical="center" wrapText="1"/>
    </xf>
    <xf numFmtId="0" fontId="4" fillId="0" borderId="2" xfId="52" applyFont="1" applyBorder="1" applyAlignment="1">
      <alignment horizontal="center" vertical="center"/>
    </xf>
    <xf numFmtId="0" fontId="5" fillId="13" borderId="19" xfId="52" applyFont="1" applyFill="1" applyBorder="1" applyAlignment="1">
      <alignment horizontal="right" vertical="center"/>
    </xf>
    <xf numFmtId="0" fontId="5" fillId="13" borderId="20" xfId="52" applyFont="1" applyFill="1" applyBorder="1" applyAlignment="1">
      <alignment horizontal="right" vertical="center"/>
    </xf>
    <xf numFmtId="168" fontId="4" fillId="0" borderId="9" xfId="52" applyNumberFormat="1" applyFont="1" applyBorder="1" applyAlignment="1">
      <alignment horizontal="justify" vertical="center"/>
    </xf>
    <xf numFmtId="168" fontId="4" fillId="0" borderId="19" xfId="52" applyNumberFormat="1" applyFont="1" applyBorder="1" applyAlignment="1">
      <alignment horizontal="justify" vertical="center"/>
    </xf>
    <xf numFmtId="168" fontId="4" fillId="0" borderId="20" xfId="52" applyNumberFormat="1" applyFont="1" applyBorder="1" applyAlignment="1">
      <alignment horizontal="justify" vertical="center"/>
    </xf>
    <xf numFmtId="168" fontId="4" fillId="0" borderId="9" xfId="52" applyNumberFormat="1" applyFont="1" applyBorder="1" applyAlignment="1">
      <alignment horizontal="justify" vertical="center" wrapText="1"/>
    </xf>
    <xf numFmtId="168" fontId="4" fillId="0" borderId="19" xfId="52" applyNumberFormat="1" applyFont="1" applyBorder="1" applyAlignment="1">
      <alignment horizontal="justify" vertical="center" wrapText="1"/>
    </xf>
    <xf numFmtId="168" fontId="4" fillId="0" borderId="20" xfId="52" applyNumberFormat="1" applyFont="1" applyBorder="1" applyAlignment="1">
      <alignment horizontal="justify" vertical="center" wrapText="1"/>
    </xf>
    <xf numFmtId="168" fontId="4" fillId="0" borderId="2" xfId="52" applyNumberFormat="1" applyFont="1" applyBorder="1" applyAlignment="1">
      <alignment horizontal="center" vertical="center"/>
    </xf>
    <xf numFmtId="168" fontId="5" fillId="0" borderId="2" xfId="52" applyNumberFormat="1" applyFont="1" applyBorder="1" applyAlignment="1">
      <alignment horizontal="center" vertical="center"/>
    </xf>
    <xf numFmtId="168" fontId="4" fillId="7" borderId="2" xfId="52" applyNumberFormat="1" applyFont="1" applyFill="1" applyBorder="1" applyAlignment="1">
      <alignment horizontal="center" vertical="center"/>
    </xf>
    <xf numFmtId="0" fontId="5" fillId="8" borderId="9" xfId="52" applyFont="1" applyFill="1" applyBorder="1" applyAlignment="1">
      <alignment horizontal="center" vertical="center"/>
    </xf>
    <xf numFmtId="0" fontId="5" fillId="8" borderId="19" xfId="52" applyFont="1" applyFill="1" applyBorder="1" applyAlignment="1">
      <alignment horizontal="center" vertical="center"/>
    </xf>
    <xf numFmtId="0" fontId="5" fillId="8" borderId="20" xfId="52" applyFont="1" applyFill="1" applyBorder="1" applyAlignment="1">
      <alignment horizontal="center" vertical="center"/>
    </xf>
    <xf numFmtId="168" fontId="15" fillId="10" borderId="2" xfId="48" applyNumberFormat="1" applyFont="1" applyFill="1" applyBorder="1" applyAlignment="1">
      <alignment horizontal="center" vertical="center"/>
    </xf>
    <xf numFmtId="168" fontId="16" fillId="0" borderId="2" xfId="48" applyNumberFormat="1" applyFont="1" applyBorder="1" applyAlignment="1">
      <alignment horizontal="center" vertical="center"/>
    </xf>
    <xf numFmtId="164" fontId="60" fillId="19" borderId="9" xfId="7" applyNumberFormat="1" applyFont="1" applyFill="1" applyBorder="1" applyAlignment="1">
      <alignment horizontal="center" vertical="center" wrapText="1"/>
    </xf>
    <xf numFmtId="164" fontId="60" fillId="19" borderId="20" xfId="7" applyNumberFormat="1" applyFont="1" applyFill="1" applyBorder="1" applyAlignment="1">
      <alignment horizontal="center" vertical="center" wrapText="1"/>
    </xf>
    <xf numFmtId="44" fontId="62" fillId="16" borderId="9" xfId="7" applyFont="1" applyFill="1" applyBorder="1" applyAlignment="1">
      <alignment horizontal="center" vertical="center" wrapText="1"/>
    </xf>
    <xf numFmtId="44" fontId="62" fillId="16" borderId="20" xfId="7" applyFont="1" applyFill="1" applyBorder="1" applyAlignment="1">
      <alignment horizontal="center" vertical="center" wrapText="1"/>
    </xf>
    <xf numFmtId="0" fontId="62" fillId="21" borderId="41" xfId="43" applyFont="1" applyFill="1" applyBorder="1" applyAlignment="1">
      <alignment horizontal="center" vertical="center" wrapText="1"/>
    </xf>
    <xf numFmtId="0" fontId="62" fillId="0" borderId="32" xfId="28" applyFont="1" applyBorder="1" applyAlignment="1">
      <alignment horizontal="center" vertical="center" wrapText="1"/>
    </xf>
    <xf numFmtId="0" fontId="62" fillId="0" borderId="13" xfId="28" applyFont="1" applyBorder="1" applyAlignment="1">
      <alignment horizontal="center" vertical="center" wrapText="1"/>
    </xf>
    <xf numFmtId="0" fontId="62" fillId="0" borderId="39" xfId="28" applyFont="1" applyBorder="1" applyAlignment="1">
      <alignment horizontal="center" vertical="center" wrapText="1"/>
    </xf>
    <xf numFmtId="0" fontId="62" fillId="0" borderId="21" xfId="28" applyFont="1" applyBorder="1" applyAlignment="1">
      <alignment horizontal="center" vertical="center" wrapText="1"/>
    </xf>
    <xf numFmtId="0" fontId="62" fillId="0" borderId="1" xfId="28" applyFont="1" applyBorder="1" applyAlignment="1">
      <alignment horizontal="center" vertical="center" wrapText="1"/>
    </xf>
    <xf numFmtId="0" fontId="62" fillId="0" borderId="40" xfId="28" applyFont="1" applyBorder="1" applyAlignment="1">
      <alignment horizontal="center" vertical="center" wrapText="1"/>
    </xf>
    <xf numFmtId="170" fontId="62" fillId="4" borderId="9" xfId="7" applyNumberFormat="1" applyFont="1" applyFill="1" applyBorder="1" applyAlignment="1">
      <alignment horizontal="center" vertical="center" wrapText="1"/>
    </xf>
    <xf numFmtId="170" fontId="62" fillId="4" borderId="19" xfId="7" applyNumberFormat="1" applyFont="1" applyFill="1" applyBorder="1" applyAlignment="1">
      <alignment horizontal="center" vertical="center" wrapText="1"/>
    </xf>
    <xf numFmtId="170" fontId="62" fillId="4" borderId="20" xfId="7" applyNumberFormat="1" applyFont="1" applyFill="1" applyBorder="1" applyAlignment="1">
      <alignment horizontal="center" vertical="center" wrapText="1"/>
    </xf>
    <xf numFmtId="0" fontId="60" fillId="0" borderId="9" xfId="28" applyFont="1" applyBorder="1" applyAlignment="1">
      <alignment horizontal="center" vertical="center" wrapText="1"/>
    </xf>
    <xf numFmtId="0" fontId="60" fillId="0" borderId="19" xfId="28" applyFont="1" applyBorder="1" applyAlignment="1">
      <alignment horizontal="center" vertical="center" wrapText="1"/>
    </xf>
    <xf numFmtId="0" fontId="60" fillId="0" borderId="20" xfId="28" applyFont="1" applyBorder="1" applyAlignment="1">
      <alignment horizontal="center" vertical="center" wrapText="1"/>
    </xf>
    <xf numFmtId="164" fontId="60" fillId="20" borderId="9" xfId="43" applyNumberFormat="1" applyFont="1" applyFill="1" applyBorder="1" applyAlignment="1">
      <alignment horizontal="center" vertical="center"/>
    </xf>
    <xf numFmtId="164" fontId="60" fillId="20" borderId="19" xfId="43" applyNumberFormat="1" applyFont="1" applyFill="1" applyBorder="1" applyAlignment="1">
      <alignment horizontal="center" vertical="center"/>
    </xf>
    <xf numFmtId="164" fontId="60" fillId="20" borderId="20" xfId="43" applyNumberFormat="1" applyFont="1" applyFill="1" applyBorder="1" applyAlignment="1">
      <alignment horizontal="center" vertical="center"/>
    </xf>
    <xf numFmtId="0" fontId="62" fillId="16" borderId="2" xfId="28" applyFont="1" applyFill="1" applyBorder="1" applyAlignment="1">
      <alignment horizontal="center" vertical="center" wrapText="1"/>
    </xf>
    <xf numFmtId="0" fontId="60" fillId="18" borderId="8" xfId="28" applyFont="1" applyFill="1" applyBorder="1" applyAlignment="1">
      <alignment horizontal="center" vertical="center" wrapText="1"/>
    </xf>
    <xf numFmtId="0" fontId="60" fillId="18" borderId="11" xfId="28" applyFont="1" applyFill="1" applyBorder="1" applyAlignment="1">
      <alignment horizontal="center" vertical="center" wrapText="1"/>
    </xf>
    <xf numFmtId="10" fontId="60" fillId="18" borderId="9" xfId="28" applyNumberFormat="1" applyFont="1" applyFill="1" applyBorder="1" applyAlignment="1">
      <alignment horizontal="center" vertical="center" wrapText="1"/>
    </xf>
    <xf numFmtId="10" fontId="60" fillId="18" borderId="20" xfId="28" applyNumberFormat="1" applyFont="1" applyFill="1" applyBorder="1" applyAlignment="1">
      <alignment horizontal="center" vertical="center" wrapText="1"/>
    </xf>
  </cellXfs>
  <cellStyles count="96">
    <cellStyle name="Moeda" xfId="1" builtinId="4"/>
    <cellStyle name="Moeda 10" xfId="2" xr:uid="{00000000-0005-0000-0000-000001000000}"/>
    <cellStyle name="Moeda 10 2" xfId="72" xr:uid="{00000000-0005-0000-0000-000002000000}"/>
    <cellStyle name="Moeda 11" xfId="87" xr:uid="{00000000-0005-0000-0000-000003000000}"/>
    <cellStyle name="Moeda 12" xfId="90" xr:uid="{00000000-0005-0000-0000-000004000000}"/>
    <cellStyle name="Moeda 2" xfId="3" xr:uid="{00000000-0005-0000-0000-000005000000}"/>
    <cellStyle name="Moeda 2 2" xfId="4" xr:uid="{00000000-0005-0000-0000-000006000000}"/>
    <cellStyle name="Moeda 2 2 2" xfId="5" xr:uid="{00000000-0005-0000-0000-000007000000}"/>
    <cellStyle name="Moeda 2 3" xfId="73" xr:uid="{00000000-0005-0000-0000-000008000000}"/>
    <cellStyle name="Moeda 3" xfId="6" xr:uid="{00000000-0005-0000-0000-000009000000}"/>
    <cellStyle name="Moeda 4" xfId="7" xr:uid="{00000000-0005-0000-0000-00000A000000}"/>
    <cellStyle name="Moeda 4 2" xfId="8" xr:uid="{00000000-0005-0000-0000-00000B000000}"/>
    <cellStyle name="Moeda 4 2 2" xfId="75" xr:uid="{00000000-0005-0000-0000-00000C000000}"/>
    <cellStyle name="Moeda 4 3" xfId="74" xr:uid="{00000000-0005-0000-0000-00000D000000}"/>
    <cellStyle name="Moeda 5" xfId="9" xr:uid="{00000000-0005-0000-0000-00000E000000}"/>
    <cellStyle name="Moeda 5 2" xfId="10" xr:uid="{00000000-0005-0000-0000-00000F000000}"/>
    <cellStyle name="Moeda 5 2 2" xfId="77" xr:uid="{00000000-0005-0000-0000-000010000000}"/>
    <cellStyle name="Moeda 5 3" xfId="76" xr:uid="{00000000-0005-0000-0000-000011000000}"/>
    <cellStyle name="Moeda 6" xfId="11" xr:uid="{00000000-0005-0000-0000-000012000000}"/>
    <cellStyle name="Moeda 6 2" xfId="78" xr:uid="{00000000-0005-0000-0000-000013000000}"/>
    <cellStyle name="Moeda 7" xfId="12" xr:uid="{00000000-0005-0000-0000-000014000000}"/>
    <cellStyle name="Moeda 7 2" xfId="79" xr:uid="{00000000-0005-0000-0000-000015000000}"/>
    <cellStyle name="Moeda 8" xfId="71" xr:uid="{00000000-0005-0000-0000-000016000000}"/>
    <cellStyle name="Moeda 9" xfId="13" xr:uid="{00000000-0005-0000-0000-000017000000}"/>
    <cellStyle name="Moeda 9 2" xfId="80" xr:uid="{00000000-0005-0000-0000-000018000000}"/>
    <cellStyle name="Normal" xfId="0" builtinId="0"/>
    <cellStyle name="Normal 10" xfId="14" xr:uid="{00000000-0005-0000-0000-00001A000000}"/>
    <cellStyle name="Normal 11" xfId="86" xr:uid="{00000000-0005-0000-0000-00001B000000}"/>
    <cellStyle name="Normal 11 2" xfId="15" xr:uid="{00000000-0005-0000-0000-00001C000000}"/>
    <cellStyle name="Normal 11 2 2" xfId="16" xr:uid="{00000000-0005-0000-0000-00001D000000}"/>
    <cellStyle name="Normal 11 2 3" xfId="17" xr:uid="{00000000-0005-0000-0000-00001E000000}"/>
    <cellStyle name="Normal 12" xfId="18" xr:uid="{00000000-0005-0000-0000-00001F000000}"/>
    <cellStyle name="Normal 13" xfId="19" xr:uid="{00000000-0005-0000-0000-000020000000}"/>
    <cellStyle name="Normal 14" xfId="89" xr:uid="{00000000-0005-0000-0000-000021000000}"/>
    <cellStyle name="Normal 2" xfId="20" xr:uid="{00000000-0005-0000-0000-000022000000}"/>
    <cellStyle name="Normal 2 2" xfId="21" xr:uid="{00000000-0005-0000-0000-000023000000}"/>
    <cellStyle name="Normal 2 2 2" xfId="22" xr:uid="{00000000-0005-0000-0000-000024000000}"/>
    <cellStyle name="Normal 2 2 2 2" xfId="23" xr:uid="{00000000-0005-0000-0000-000025000000}"/>
    <cellStyle name="Normal 2 2 2 2 2" xfId="24" xr:uid="{00000000-0005-0000-0000-000026000000}"/>
    <cellStyle name="Normal 2 2 2 2 3" xfId="25" xr:uid="{00000000-0005-0000-0000-000027000000}"/>
    <cellStyle name="Normal 2 3" xfId="26" xr:uid="{00000000-0005-0000-0000-000028000000}"/>
    <cellStyle name="Normal 2 4" xfId="27" xr:uid="{00000000-0005-0000-0000-000029000000}"/>
    <cellStyle name="Normal 2 4 2" xfId="28" xr:uid="{00000000-0005-0000-0000-00002A000000}"/>
    <cellStyle name="Normal 2 5" xfId="29" xr:uid="{00000000-0005-0000-0000-00002B000000}"/>
    <cellStyle name="Normal 2 5 2 2" xfId="30" xr:uid="{00000000-0005-0000-0000-00002C000000}"/>
    <cellStyle name="Normal 2 5 2 2 2" xfId="31" xr:uid="{00000000-0005-0000-0000-00002D000000}"/>
    <cellStyle name="Normal 2 5 2 2 2 2" xfId="32" xr:uid="{00000000-0005-0000-0000-00002E000000}"/>
    <cellStyle name="Normal 2 5 2 2 2 2 2" xfId="92" xr:uid="{00000000-0005-0000-0000-00002F000000}"/>
    <cellStyle name="Normal 2 6" xfId="33" xr:uid="{00000000-0005-0000-0000-000030000000}"/>
    <cellStyle name="Normal 2 6 2" xfId="34" xr:uid="{00000000-0005-0000-0000-000031000000}"/>
    <cellStyle name="Normal 2 7" xfId="35" xr:uid="{00000000-0005-0000-0000-000032000000}"/>
    <cellStyle name="Normal 2 8" xfId="36" xr:uid="{00000000-0005-0000-0000-000033000000}"/>
    <cellStyle name="Normal 2 8 2" xfId="37" xr:uid="{00000000-0005-0000-0000-000034000000}"/>
    <cellStyle name="Normal 2 9" xfId="38" xr:uid="{00000000-0005-0000-0000-000035000000}"/>
    <cellStyle name="Normal 2 9 2" xfId="39" xr:uid="{00000000-0005-0000-0000-000036000000}"/>
    <cellStyle name="Normal 2 9 2 3" xfId="40" xr:uid="{00000000-0005-0000-0000-000037000000}"/>
    <cellStyle name="Normal 2 9 2 3 2" xfId="94" xr:uid="{00000000-0005-0000-0000-000038000000}"/>
    <cellStyle name="Normal 2 9 3" xfId="41" xr:uid="{00000000-0005-0000-0000-000039000000}"/>
    <cellStyle name="Normal 2 9 3 2" xfId="93" xr:uid="{00000000-0005-0000-0000-00003A000000}"/>
    <cellStyle name="Normal 2 9 4" xfId="42" xr:uid="{00000000-0005-0000-0000-00003B000000}"/>
    <cellStyle name="Normal 2 9 4 2" xfId="91" xr:uid="{00000000-0005-0000-0000-00003C000000}"/>
    <cellStyle name="Normal 3" xfId="43" xr:uid="{00000000-0005-0000-0000-00003D000000}"/>
    <cellStyle name="Normal 3 2" xfId="44" xr:uid="{00000000-0005-0000-0000-00003E000000}"/>
    <cellStyle name="Normal 4" xfId="45" xr:uid="{00000000-0005-0000-0000-00003F000000}"/>
    <cellStyle name="Normal 4 2" xfId="46" xr:uid="{00000000-0005-0000-0000-000040000000}"/>
    <cellStyle name="Normal 5" xfId="47" xr:uid="{00000000-0005-0000-0000-000041000000}"/>
    <cellStyle name="Normal 5 2 2" xfId="48" xr:uid="{00000000-0005-0000-0000-000042000000}"/>
    <cellStyle name="Normal 5 3" xfId="49" xr:uid="{00000000-0005-0000-0000-000043000000}"/>
    <cellStyle name="Normal 6" xfId="50" xr:uid="{00000000-0005-0000-0000-000044000000}"/>
    <cellStyle name="Normal 6 2 2" xfId="51" xr:uid="{00000000-0005-0000-0000-000045000000}"/>
    <cellStyle name="Normal 6 4 2" xfId="52" xr:uid="{00000000-0005-0000-0000-000046000000}"/>
    <cellStyle name="Normal 6 4 3" xfId="53" xr:uid="{00000000-0005-0000-0000-000047000000}"/>
    <cellStyle name="Normal 7" xfId="54" xr:uid="{00000000-0005-0000-0000-000048000000}"/>
    <cellStyle name="Normal 7 2" xfId="55" xr:uid="{00000000-0005-0000-0000-000049000000}"/>
    <cellStyle name="Normal 7 3" xfId="88" xr:uid="{00000000-0005-0000-0000-00004A000000}"/>
    <cellStyle name="Normal 8" xfId="56" xr:uid="{00000000-0005-0000-0000-00004B000000}"/>
    <cellStyle name="Normal 9" xfId="57" xr:uid="{00000000-0005-0000-0000-00004C000000}"/>
    <cellStyle name="Normal 9 2" xfId="58" xr:uid="{00000000-0005-0000-0000-00004D000000}"/>
    <cellStyle name="Normal_Planilha em Proposta 123 de 2003" xfId="59" xr:uid="{00000000-0005-0000-0000-00004E000000}"/>
    <cellStyle name="Porcentagem 2" xfId="60" xr:uid="{00000000-0005-0000-0000-00004F000000}"/>
    <cellStyle name="Porcentagem 2 2" xfId="61" xr:uid="{00000000-0005-0000-0000-000050000000}"/>
    <cellStyle name="Porcentagem 3" xfId="62" xr:uid="{00000000-0005-0000-0000-000051000000}"/>
    <cellStyle name="Porcentagem 5 2" xfId="63" xr:uid="{00000000-0005-0000-0000-000052000000}"/>
    <cellStyle name="Separador de milhares 2" xfId="64" xr:uid="{00000000-0005-0000-0000-000053000000}"/>
    <cellStyle name="Separador de milhares 2 2" xfId="81" xr:uid="{00000000-0005-0000-0000-000054000000}"/>
    <cellStyle name="TableStyleLight1" xfId="65" xr:uid="{00000000-0005-0000-0000-000055000000}"/>
    <cellStyle name="TableStyleLight1 2" xfId="95" xr:uid="{00000000-0005-0000-0000-000056000000}"/>
    <cellStyle name="Vírgula 2" xfId="66" xr:uid="{00000000-0005-0000-0000-000057000000}"/>
    <cellStyle name="Vírgula 2 2" xfId="82" xr:uid="{00000000-0005-0000-0000-000058000000}"/>
    <cellStyle name="Vírgula 2 2 2" xfId="67" xr:uid="{00000000-0005-0000-0000-000059000000}"/>
    <cellStyle name="Vírgula 2 2 2 2" xfId="83" xr:uid="{00000000-0005-0000-0000-00005A000000}"/>
    <cellStyle name="Vírgula 3" xfId="68" xr:uid="{00000000-0005-0000-0000-00005B000000}"/>
    <cellStyle name="Vírgula 3 2" xfId="84" xr:uid="{00000000-0005-0000-0000-00005C000000}"/>
    <cellStyle name="Vírgula 4" xfId="70" xr:uid="{00000000-0005-0000-0000-00005D000000}"/>
    <cellStyle name="Vírgula 6" xfId="69" xr:uid="{00000000-0005-0000-0000-00005E000000}"/>
    <cellStyle name="Vírgula 6 2" xfId="85" xr:uid="{00000000-0005-0000-0000-00005F000000}"/>
  </cellStyles>
  <dxfs count="12">
    <dxf>
      <fill>
        <patternFill patternType="solid">
          <bgColor rgb="FF92D050"/>
        </patternFill>
      </fill>
    </dxf>
    <dxf>
      <fill>
        <patternFill patternType="solid">
          <bgColor rgb="FF7030A0"/>
        </patternFill>
      </fill>
    </dxf>
    <dxf>
      <fill>
        <patternFill patternType="solid">
          <bgColor rgb="FF92D050"/>
        </patternFill>
      </fill>
    </dxf>
    <dxf>
      <fill>
        <patternFill patternType="solid">
          <bgColor rgb="FFFF0000"/>
        </patternFill>
      </fill>
    </dxf>
    <dxf>
      <fill>
        <patternFill patternType="solid">
          <bgColor rgb="FF92D050"/>
        </patternFill>
      </fill>
    </dxf>
    <dxf>
      <fill>
        <patternFill patternType="solid">
          <bgColor rgb="FFFF0000"/>
        </patternFill>
      </fill>
    </dxf>
    <dxf>
      <fill>
        <patternFill patternType="solid">
          <bgColor rgb="FF92D050"/>
        </patternFill>
      </fill>
    </dxf>
    <dxf>
      <fill>
        <patternFill patternType="solid">
          <bgColor rgb="FF7030A0"/>
        </patternFill>
      </fill>
    </dxf>
    <dxf>
      <fill>
        <patternFill patternType="solid">
          <bgColor rgb="FF92D050"/>
        </patternFill>
      </fill>
    </dxf>
    <dxf>
      <fill>
        <patternFill patternType="solid">
          <bgColor rgb="FFFF0000"/>
        </patternFill>
      </fill>
    </dxf>
    <dxf>
      <fill>
        <patternFill patternType="solid">
          <bgColor rgb="FF92D050"/>
        </patternFill>
      </fill>
    </dxf>
    <dxf>
      <fill>
        <patternFill patternType="solid">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9966"/>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I25"/>
  <sheetViews>
    <sheetView showGridLines="0" workbookViewId="0">
      <selection activeCell="J8" sqref="J8"/>
    </sheetView>
  </sheetViews>
  <sheetFormatPr defaultColWidth="9" defaultRowHeight="12.75"/>
  <cols>
    <col min="1" max="1" width="9" style="225"/>
    <col min="2" max="2" width="10" style="225" customWidth="1"/>
    <col min="3" max="3" width="64.28515625" style="225" customWidth="1"/>
    <col min="4" max="4" width="29.85546875" style="225" customWidth="1"/>
    <col min="5" max="5" width="15.7109375" style="225" customWidth="1"/>
    <col min="6" max="6" width="27.140625" style="225" customWidth="1"/>
    <col min="7" max="7" width="13.140625" style="225" customWidth="1"/>
    <col min="8" max="16384" width="9" style="225"/>
  </cols>
  <sheetData>
    <row r="2" spans="1:9" ht="15">
      <c r="A2" s="276"/>
      <c r="B2" s="276"/>
      <c r="C2" s="276"/>
      <c r="D2" s="276"/>
      <c r="E2" s="276"/>
      <c r="F2" s="276"/>
      <c r="G2" s="276"/>
      <c r="H2" s="276"/>
      <c r="I2" s="276"/>
    </row>
    <row r="3" spans="1:9" ht="21" customHeight="1">
      <c r="A3" s="302"/>
      <c r="B3" s="302"/>
      <c r="C3" s="277"/>
      <c r="D3" s="278"/>
      <c r="E3" s="302"/>
      <c r="F3" s="302"/>
      <c r="G3" s="302"/>
      <c r="H3" s="276"/>
      <c r="I3" s="276"/>
    </row>
    <row r="4" spans="1:9" ht="15">
      <c r="A4" s="302"/>
      <c r="B4" s="302"/>
      <c r="C4" s="302"/>
      <c r="D4" s="302"/>
      <c r="E4" s="302"/>
      <c r="F4" s="302"/>
      <c r="G4" s="302"/>
      <c r="H4" s="276"/>
      <c r="I4" s="276"/>
    </row>
    <row r="5" spans="1:9" ht="25.5" customHeight="1">
      <c r="A5" s="302"/>
      <c r="B5" s="653" t="s">
        <v>0</v>
      </c>
      <c r="C5" s="653"/>
      <c r="D5" s="653"/>
      <c r="E5" s="653"/>
      <c r="F5" s="653"/>
      <c r="G5" s="302"/>
      <c r="H5" s="276"/>
      <c r="I5" s="276"/>
    </row>
    <row r="6" spans="1:9" ht="39.75" customHeight="1">
      <c r="A6" s="302"/>
      <c r="B6" s="303" t="s">
        <v>1</v>
      </c>
      <c r="C6" s="303" t="s">
        <v>2</v>
      </c>
      <c r="D6" s="303" t="s">
        <v>3</v>
      </c>
      <c r="E6" s="303" t="s">
        <v>4</v>
      </c>
      <c r="F6" s="304" t="s">
        <v>5</v>
      </c>
      <c r="G6" s="302"/>
      <c r="H6" s="276"/>
      <c r="I6" s="276"/>
    </row>
    <row r="7" spans="1:9" ht="28.5" customHeight="1">
      <c r="A7" s="302"/>
      <c r="B7" s="305">
        <v>1</v>
      </c>
      <c r="C7" s="279" t="s">
        <v>6</v>
      </c>
      <c r="D7" s="305" t="s">
        <v>7</v>
      </c>
      <c r="E7" s="306">
        <v>12</v>
      </c>
      <c r="F7" s="307">
        <v>2574.37</v>
      </c>
      <c r="G7" s="302"/>
      <c r="H7" s="276"/>
      <c r="I7" s="276"/>
    </row>
    <row r="8" spans="1:9" ht="28.5" customHeight="1">
      <c r="A8" s="302"/>
      <c r="B8" s="305">
        <f>B7+1</f>
        <v>2</v>
      </c>
      <c r="C8" s="279" t="s">
        <v>8</v>
      </c>
      <c r="D8" s="305" t="s">
        <v>9</v>
      </c>
      <c r="E8" s="306">
        <v>4</v>
      </c>
      <c r="F8" s="307">
        <v>1743.49</v>
      </c>
      <c r="G8" s="302"/>
      <c r="H8" s="276"/>
      <c r="I8" s="276"/>
    </row>
    <row r="9" spans="1:9" ht="15.75">
      <c r="A9" s="302"/>
      <c r="B9" s="308" t="s">
        <v>10</v>
      </c>
      <c r="C9" s="302"/>
      <c r="D9" s="302"/>
      <c r="E9" s="302"/>
      <c r="F9" s="302"/>
      <c r="G9" s="302"/>
      <c r="H9" s="276"/>
      <c r="I9" s="276"/>
    </row>
    <row r="10" spans="1:9" ht="15">
      <c r="A10" s="302"/>
      <c r="B10" s="309"/>
      <c r="C10" s="310" t="s">
        <v>11</v>
      </c>
      <c r="D10" s="302"/>
      <c r="E10" s="302"/>
      <c r="F10" s="302"/>
      <c r="G10" s="302"/>
      <c r="H10" s="276"/>
      <c r="I10" s="276"/>
    </row>
    <row r="11" spans="1:9" ht="15">
      <c r="A11" s="302"/>
      <c r="B11" s="302"/>
      <c r="C11" s="302"/>
      <c r="D11" s="302"/>
      <c r="E11" s="302"/>
      <c r="F11" s="302"/>
      <c r="G11" s="302"/>
      <c r="H11" s="276"/>
      <c r="I11" s="276"/>
    </row>
    <row r="12" spans="1:9" ht="18" customHeight="1">
      <c r="A12" s="302"/>
      <c r="B12" s="654" t="s">
        <v>0</v>
      </c>
      <c r="C12" s="655"/>
      <c r="D12" s="655"/>
      <c r="E12" s="655"/>
      <c r="F12" s="655"/>
      <c r="G12" s="656"/>
      <c r="H12" s="276"/>
      <c r="I12" s="276"/>
    </row>
    <row r="13" spans="1:9" ht="63">
      <c r="A13" s="302"/>
      <c r="B13" s="303" t="s">
        <v>1</v>
      </c>
      <c r="C13" s="303" t="s">
        <v>12</v>
      </c>
      <c r="D13" s="303" t="s">
        <v>3</v>
      </c>
      <c r="E13" s="303" t="s">
        <v>13</v>
      </c>
      <c r="F13" s="303" t="s">
        <v>14</v>
      </c>
      <c r="G13" s="303" t="s">
        <v>15</v>
      </c>
      <c r="H13" s="276"/>
      <c r="I13" s="276"/>
    </row>
    <row r="14" spans="1:9" ht="15.75">
      <c r="A14" s="302"/>
      <c r="B14" s="311">
        <v>1</v>
      </c>
      <c r="C14" s="280" t="str">
        <f t="shared" ref="C14:E15" si="0">C7</f>
        <v>Garçom</v>
      </c>
      <c r="D14" s="311" t="str">
        <f t="shared" si="0"/>
        <v>5134-05</v>
      </c>
      <c r="E14" s="311">
        <f t="shared" si="0"/>
        <v>12</v>
      </c>
      <c r="F14" s="312" t="s">
        <v>16</v>
      </c>
      <c r="G14" s="313" t="s">
        <v>16</v>
      </c>
      <c r="H14" s="276"/>
      <c r="I14" s="276"/>
    </row>
    <row r="15" spans="1:9" ht="15.75">
      <c r="A15" s="302"/>
      <c r="B15" s="311">
        <f>B14+1</f>
        <v>2</v>
      </c>
      <c r="C15" s="280" t="str">
        <f t="shared" si="0"/>
        <v>Copeiro</v>
      </c>
      <c r="D15" s="311" t="str">
        <f t="shared" si="0"/>
        <v>5134-25</v>
      </c>
      <c r="E15" s="311">
        <f t="shared" si="0"/>
        <v>4</v>
      </c>
      <c r="F15" s="312" t="s">
        <v>16</v>
      </c>
      <c r="G15" s="313" t="s">
        <v>16</v>
      </c>
      <c r="H15" s="276"/>
      <c r="I15" s="276"/>
    </row>
    <row r="16" spans="1:9" ht="15.75">
      <c r="A16" s="302"/>
      <c r="B16" s="308"/>
      <c r="C16" s="302"/>
      <c r="D16" s="302"/>
      <c r="E16" s="302"/>
      <c r="F16" s="302"/>
      <c r="G16" s="302"/>
      <c r="H16" s="276"/>
      <c r="I16" s="276"/>
    </row>
    <row r="17" spans="1:9" ht="15">
      <c r="A17" s="302"/>
      <c r="B17" s="302"/>
      <c r="C17" s="302"/>
      <c r="D17" s="302"/>
      <c r="E17" s="302"/>
      <c r="F17" s="302"/>
      <c r="G17" s="302"/>
      <c r="H17" s="276"/>
      <c r="I17" s="276"/>
    </row>
    <row r="18" spans="1:9" ht="15">
      <c r="A18" s="302"/>
      <c r="B18" s="302"/>
      <c r="C18" s="302"/>
      <c r="D18" s="302"/>
      <c r="E18" s="302"/>
      <c r="F18" s="302"/>
      <c r="G18" s="302"/>
      <c r="H18" s="276"/>
      <c r="I18" s="276"/>
    </row>
    <row r="19" spans="1:9" ht="15">
      <c r="A19" s="302"/>
      <c r="B19" s="302"/>
      <c r="C19" s="302"/>
      <c r="D19" s="302"/>
      <c r="E19" s="302"/>
      <c r="F19" s="302"/>
      <c r="G19" s="302"/>
      <c r="H19" s="276"/>
      <c r="I19" s="276"/>
    </row>
    <row r="20" spans="1:9" ht="15">
      <c r="A20" s="302"/>
      <c r="B20" s="302"/>
      <c r="C20" s="302"/>
      <c r="D20" s="302"/>
      <c r="E20" s="302"/>
      <c r="F20" s="302"/>
      <c r="G20" s="302"/>
      <c r="H20" s="276"/>
      <c r="I20" s="276"/>
    </row>
    <row r="21" spans="1:9" ht="15">
      <c r="A21" s="276"/>
      <c r="B21" s="276"/>
      <c r="C21" s="276"/>
      <c r="D21" s="276"/>
      <c r="E21" s="276"/>
      <c r="F21" s="276"/>
      <c r="G21" s="276"/>
      <c r="H21" s="276"/>
      <c r="I21" s="276"/>
    </row>
    <row r="22" spans="1:9" ht="15">
      <c r="A22" s="276"/>
      <c r="B22" s="276"/>
      <c r="C22" s="276"/>
      <c r="D22" s="276"/>
      <c r="E22" s="276"/>
      <c r="F22" s="276"/>
      <c r="G22" s="276"/>
      <c r="H22" s="276"/>
      <c r="I22" s="276"/>
    </row>
    <row r="23" spans="1:9" ht="15">
      <c r="A23" s="276"/>
      <c r="B23" s="276"/>
      <c r="C23" s="276"/>
      <c r="D23" s="276"/>
      <c r="E23" s="276"/>
      <c r="F23" s="276"/>
      <c r="G23" s="276"/>
      <c r="H23" s="276"/>
      <c r="I23" s="276"/>
    </row>
    <row r="24" spans="1:9" ht="15">
      <c r="A24" s="276"/>
      <c r="B24" s="276"/>
      <c r="C24" s="276"/>
      <c r="D24" s="276"/>
      <c r="E24" s="276"/>
      <c r="F24" s="276"/>
      <c r="G24" s="276"/>
      <c r="H24" s="276"/>
      <c r="I24" s="276"/>
    </row>
    <row r="25" spans="1:9" ht="15">
      <c r="A25" s="276"/>
      <c r="B25" s="276"/>
      <c r="C25" s="276"/>
      <c r="D25" s="276"/>
      <c r="E25" s="276"/>
      <c r="F25" s="276"/>
      <c r="G25" s="276"/>
      <c r="H25" s="276"/>
      <c r="I25" s="276"/>
    </row>
  </sheetData>
  <mergeCells count="2">
    <mergeCell ref="B5:F5"/>
    <mergeCell ref="B12:G12"/>
  </mergeCells>
  <printOptions horizontalCentered="1" verticalCentered="1"/>
  <pageMargins left="0.511811023622047" right="0.511811023622047" top="0.78740157480314998" bottom="0.78740157480314998" header="0.31496062992126" footer="0.31496062992126"/>
  <pageSetup paperSize="9" scale="54" orientation="portrait"/>
  <colBreaks count="1" manualBreakCount="1">
    <brk id="5" max="31"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B1:IJ37"/>
  <sheetViews>
    <sheetView showGridLines="0" zoomScale="80" zoomScaleNormal="80" zoomScaleSheetLayoutView="110" workbookViewId="0">
      <selection activeCell="E2" sqref="E2"/>
    </sheetView>
  </sheetViews>
  <sheetFormatPr defaultColWidth="9.7109375" defaultRowHeight="18"/>
  <cols>
    <col min="1" max="1" width="5.28515625" style="129" customWidth="1"/>
    <col min="2" max="2" width="57.5703125" style="130" customWidth="1"/>
    <col min="3" max="3" width="20" style="130" customWidth="1"/>
    <col min="4" max="4" width="22.140625" style="130" customWidth="1"/>
    <col min="5" max="5" width="24.42578125" style="130" customWidth="1"/>
    <col min="6" max="6" width="21.140625" style="130" customWidth="1"/>
    <col min="7" max="7" width="21.42578125" style="130" customWidth="1"/>
    <col min="8" max="8" width="23" style="130" customWidth="1"/>
    <col min="9" max="9" width="24.7109375" style="130" customWidth="1"/>
    <col min="10" max="10" width="20.5703125" style="130" customWidth="1"/>
    <col min="11" max="11" width="40" style="130" customWidth="1"/>
    <col min="12" max="12" width="18.7109375" style="130" customWidth="1"/>
    <col min="13" max="13" width="16.85546875" style="130" customWidth="1"/>
    <col min="14" max="14" width="17.7109375" style="130" customWidth="1"/>
    <col min="15" max="16" width="18.5703125" style="130" customWidth="1"/>
    <col min="17" max="18" width="16.42578125" style="130" customWidth="1"/>
    <col min="19" max="19" width="33.5703125" style="130" customWidth="1"/>
    <col min="20" max="20" width="23.42578125" style="130" customWidth="1"/>
    <col min="21" max="21" width="35.5703125" style="130" customWidth="1"/>
    <col min="22" max="22" width="26" style="130" customWidth="1"/>
    <col min="23" max="244" width="9.7109375" style="130"/>
    <col min="245" max="16384" width="9.7109375" style="129"/>
  </cols>
  <sheetData>
    <row r="1" spans="2:244">
      <c r="IJ1" s="129"/>
    </row>
    <row r="2" spans="2:244">
      <c r="IJ2" s="129"/>
    </row>
    <row r="3" spans="2:244" ht="23.25">
      <c r="B3" s="984" t="s">
        <v>382</v>
      </c>
      <c r="C3" s="985"/>
      <c r="D3" s="985"/>
      <c r="E3" s="985"/>
      <c r="F3" s="985"/>
      <c r="G3" s="985"/>
      <c r="H3" s="985"/>
      <c r="I3" s="985"/>
      <c r="J3" s="985"/>
      <c r="K3" s="985"/>
      <c r="L3" s="985"/>
      <c r="M3" s="986"/>
      <c r="IH3" s="129"/>
      <c r="II3" s="129"/>
      <c r="IJ3" s="129"/>
    </row>
    <row r="4" spans="2:244" ht="105" customHeight="1">
      <c r="B4" s="131" t="s">
        <v>383</v>
      </c>
      <c r="C4" s="132" t="s">
        <v>384</v>
      </c>
      <c r="D4" s="132" t="s">
        <v>385</v>
      </c>
      <c r="E4" s="132" t="s">
        <v>386</v>
      </c>
      <c r="F4" s="132" t="s">
        <v>387</v>
      </c>
      <c r="G4" s="132" t="s">
        <v>388</v>
      </c>
      <c r="H4" s="133" t="s">
        <v>389</v>
      </c>
      <c r="I4" s="133" t="s">
        <v>390</v>
      </c>
      <c r="J4" s="132" t="s">
        <v>391</v>
      </c>
      <c r="K4" s="160" t="s">
        <v>392</v>
      </c>
      <c r="L4" s="161" t="s">
        <v>393</v>
      </c>
      <c r="M4" s="162" t="s">
        <v>394</v>
      </c>
      <c r="IH4" s="129"/>
      <c r="II4" s="129"/>
      <c r="IJ4" s="129"/>
    </row>
    <row r="5" spans="2:244" ht="35.25" customHeight="1">
      <c r="B5" s="134" t="s">
        <v>395</v>
      </c>
      <c r="C5" s="135">
        <f>8047.1</f>
        <v>8047.1</v>
      </c>
      <c r="D5" s="135">
        <v>5817.69</v>
      </c>
      <c r="E5" s="136"/>
      <c r="F5" s="136"/>
      <c r="G5" s="136"/>
      <c r="H5" s="136"/>
      <c r="I5" s="136"/>
      <c r="J5" s="136"/>
      <c r="K5" s="163">
        <f>'Descrição postos'!F7</f>
        <v>2574.37</v>
      </c>
      <c r="L5" s="164">
        <f>AVERAGE(C5:K5)</f>
        <v>5479.72</v>
      </c>
      <c r="M5" s="165">
        <f>K5-L5</f>
        <v>-2905.3500000000004</v>
      </c>
      <c r="IH5" s="129"/>
      <c r="II5" s="129"/>
      <c r="IJ5" s="129"/>
    </row>
    <row r="6" spans="2:244" ht="42" customHeight="1">
      <c r="B6" s="137" t="s">
        <v>396</v>
      </c>
      <c r="C6" s="138"/>
      <c r="D6" s="138"/>
      <c r="E6" s="139">
        <v>4472.49</v>
      </c>
      <c r="F6" s="138"/>
      <c r="G6" s="140">
        <f>3159.95*(1+3.8/100)*(1+3.79/100)</f>
        <v>3404.3411649899999</v>
      </c>
      <c r="H6" s="140">
        <f>3070*(1+3.8/100)*(1+3.79/100)</f>
        <v>3307.4344139999998</v>
      </c>
      <c r="I6" s="166">
        <f>3265.05*(1+3.79/100)</f>
        <v>3388.7953950000001</v>
      </c>
      <c r="J6" s="167">
        <v>3289.5</v>
      </c>
      <c r="K6" s="168" t="e">
        <f>'Descrição postos'!#REF!</f>
        <v>#REF!</v>
      </c>
      <c r="L6" s="169" t="e">
        <f>AVERAGE(C6:K6)</f>
        <v>#REF!</v>
      </c>
      <c r="M6" s="170" t="e">
        <f t="shared" ref="M6:M8" si="0">K6-L6</f>
        <v>#REF!</v>
      </c>
      <c r="IH6" s="129"/>
      <c r="II6" s="129"/>
      <c r="IJ6" s="129"/>
    </row>
    <row r="7" spans="2:244" ht="39" customHeight="1">
      <c r="B7" s="137" t="s">
        <v>397</v>
      </c>
      <c r="C7" s="140">
        <v>4878.33</v>
      </c>
      <c r="D7" s="138"/>
      <c r="E7" s="139">
        <v>2721.65</v>
      </c>
      <c r="F7" s="140">
        <v>2916.43</v>
      </c>
      <c r="G7" s="140">
        <f>2478.46*(1+3.8/100)*(1+3.79/100)</f>
        <v>2670.144592092</v>
      </c>
      <c r="H7" s="140">
        <f>1738*(1+3.8/100)*(1+3.79/100)</f>
        <v>1872.4172676000001</v>
      </c>
      <c r="I7" s="138"/>
      <c r="J7" s="171">
        <v>1901.53</v>
      </c>
      <c r="K7" s="172" t="e">
        <f>'Descrição postos'!#REF!</f>
        <v>#REF!</v>
      </c>
      <c r="L7" s="169" t="e">
        <f>AVERAGE(C7:K7)</f>
        <v>#REF!</v>
      </c>
      <c r="M7" s="173" t="e">
        <f t="shared" si="0"/>
        <v>#REF!</v>
      </c>
      <c r="IH7" s="129"/>
      <c r="II7" s="129"/>
      <c r="IJ7" s="129"/>
    </row>
    <row r="8" spans="2:244" ht="39" customHeight="1">
      <c r="B8" s="141" t="s">
        <v>398</v>
      </c>
      <c r="C8" s="142"/>
      <c r="D8" s="142"/>
      <c r="E8" s="143">
        <v>2540.19</v>
      </c>
      <c r="F8" s="142"/>
      <c r="G8" s="144">
        <f>2342.41*(1+3.8/100)*(1+3.79/100)</f>
        <v>2523.572457882</v>
      </c>
      <c r="H8" s="144">
        <f>1738*(1+3.8/100)*(1+3.79/100)</f>
        <v>1872.4172676000001</v>
      </c>
      <c r="I8" s="144">
        <f>2111.65*(1+3.79/100)</f>
        <v>2191.6815350000002</v>
      </c>
      <c r="J8" s="174">
        <v>2590.09</v>
      </c>
      <c r="K8" s="175" t="e">
        <f>'Descrição postos'!#REF!</f>
        <v>#REF!</v>
      </c>
      <c r="L8" s="176" t="e">
        <f>AVERAGE(C8:K8)</f>
        <v>#REF!</v>
      </c>
      <c r="M8" s="177" t="e">
        <f t="shared" si="0"/>
        <v>#REF!</v>
      </c>
      <c r="IH8" s="129"/>
      <c r="II8" s="129"/>
      <c r="IJ8" s="129"/>
    </row>
    <row r="9" spans="2:244">
      <c r="II9" s="129"/>
      <c r="IJ9" s="129"/>
    </row>
    <row r="10" spans="2:244">
      <c r="R10" s="182"/>
      <c r="S10" s="182"/>
      <c r="T10" s="182"/>
    </row>
    <row r="11" spans="2:244">
      <c r="U11" s="183"/>
      <c r="IJ11" s="129"/>
    </row>
    <row r="12" spans="2:244" s="128" customFormat="1" ht="21.75" customHeight="1">
      <c r="B12" s="987" t="s">
        <v>399</v>
      </c>
      <c r="C12" s="988"/>
      <c r="D12" s="988"/>
      <c r="E12" s="988"/>
      <c r="F12" s="988"/>
      <c r="G12" s="988"/>
      <c r="H12" s="988"/>
      <c r="I12" s="988"/>
      <c r="J12" s="988"/>
      <c r="K12" s="988"/>
      <c r="L12" s="988"/>
      <c r="M12" s="988"/>
      <c r="N12" s="988"/>
      <c r="O12" s="988"/>
      <c r="P12" s="988"/>
      <c r="Q12" s="988"/>
      <c r="R12" s="988"/>
      <c r="S12" s="988"/>
      <c r="T12" s="989"/>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4"/>
      <c r="EG12" s="154"/>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4"/>
      <c r="FZ12" s="154"/>
      <c r="GA12" s="154"/>
      <c r="GB12" s="154"/>
      <c r="GC12" s="154"/>
      <c r="GD12" s="154"/>
      <c r="GE12" s="154"/>
      <c r="GF12" s="154"/>
      <c r="GG12" s="154"/>
      <c r="GH12" s="154"/>
      <c r="GI12" s="154"/>
      <c r="GJ12" s="154"/>
      <c r="GK12" s="154"/>
      <c r="GL12" s="154"/>
      <c r="GM12" s="154"/>
      <c r="GN12" s="154"/>
      <c r="GO12" s="154"/>
      <c r="GP12" s="154"/>
      <c r="GQ12" s="154"/>
      <c r="GR12" s="154"/>
      <c r="GS12" s="154"/>
      <c r="GT12" s="154"/>
      <c r="GU12" s="154"/>
      <c r="GV12" s="154"/>
      <c r="GW12" s="154"/>
      <c r="GX12" s="154"/>
      <c r="GY12" s="154"/>
      <c r="GZ12" s="154"/>
      <c r="HA12" s="154"/>
      <c r="HB12" s="154"/>
      <c r="HC12" s="154"/>
      <c r="HD12" s="154"/>
      <c r="HE12" s="154"/>
      <c r="HF12" s="154"/>
      <c r="HG12" s="154"/>
      <c r="HH12" s="154"/>
      <c r="HI12" s="154"/>
      <c r="HJ12" s="154"/>
      <c r="HK12" s="154"/>
      <c r="HL12" s="154"/>
      <c r="HM12" s="154"/>
      <c r="HN12" s="154"/>
      <c r="HO12" s="154"/>
      <c r="HP12" s="154"/>
      <c r="HQ12" s="154"/>
      <c r="HR12" s="154"/>
      <c r="HS12" s="154"/>
      <c r="HT12" s="154"/>
      <c r="HU12" s="154"/>
      <c r="HV12" s="154"/>
      <c r="HW12" s="154"/>
      <c r="HX12" s="154"/>
      <c r="HY12" s="154"/>
      <c r="HZ12" s="154"/>
      <c r="IA12" s="154"/>
      <c r="IB12" s="154"/>
      <c r="IC12" s="154"/>
      <c r="ID12" s="154"/>
      <c r="IE12" s="154"/>
      <c r="IF12" s="154"/>
    </row>
    <row r="13" spans="2:244" s="128" customFormat="1" ht="42" customHeight="1">
      <c r="B13" s="145" t="s">
        <v>400</v>
      </c>
      <c r="C13" s="146" t="s">
        <v>401</v>
      </c>
      <c r="D13" s="147" t="s">
        <v>389</v>
      </c>
      <c r="E13" s="147" t="s">
        <v>390</v>
      </c>
      <c r="F13" s="147" t="s">
        <v>402</v>
      </c>
      <c r="G13" s="147" t="s">
        <v>384</v>
      </c>
      <c r="H13" s="147" t="s">
        <v>387</v>
      </c>
      <c r="I13" s="147" t="s">
        <v>391</v>
      </c>
      <c r="J13" s="147" t="s">
        <v>403</v>
      </c>
      <c r="K13" s="147" t="s">
        <v>385</v>
      </c>
      <c r="L13" s="178" t="s">
        <v>386</v>
      </c>
      <c r="M13" s="179" t="s">
        <v>404</v>
      </c>
      <c r="N13" s="179" t="s">
        <v>405</v>
      </c>
      <c r="O13" s="179" t="s">
        <v>406</v>
      </c>
      <c r="P13" s="179" t="s">
        <v>407</v>
      </c>
      <c r="Q13" s="145" t="s">
        <v>408</v>
      </c>
      <c r="R13" s="145" t="s">
        <v>409</v>
      </c>
      <c r="S13" s="145" t="s">
        <v>410</v>
      </c>
      <c r="T13" s="145" t="s">
        <v>411</v>
      </c>
      <c r="U13" s="145" t="s">
        <v>412</v>
      </c>
      <c r="V13" s="145" t="s">
        <v>413</v>
      </c>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c r="CJ13" s="154"/>
      <c r="CK13" s="154"/>
      <c r="CL13" s="154"/>
      <c r="CM13" s="154"/>
      <c r="CN13" s="154"/>
      <c r="CO13" s="154"/>
      <c r="CP13" s="154"/>
      <c r="CQ13" s="154"/>
      <c r="CR13" s="154"/>
      <c r="CS13" s="154"/>
      <c r="CT13" s="154"/>
      <c r="CU13" s="154"/>
      <c r="CV13" s="154"/>
      <c r="CW13" s="154"/>
      <c r="CX13" s="154"/>
      <c r="CY13" s="154"/>
      <c r="CZ13" s="154"/>
      <c r="DA13" s="154"/>
      <c r="DB13" s="154"/>
      <c r="DC13" s="154"/>
      <c r="DD13" s="154"/>
      <c r="DE13" s="154"/>
      <c r="DF13" s="154"/>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154"/>
      <c r="EP13" s="154"/>
      <c r="EQ13" s="154"/>
      <c r="ER13" s="154"/>
      <c r="ES13" s="154"/>
      <c r="ET13" s="154"/>
      <c r="EU13" s="154"/>
      <c r="EV13" s="154"/>
      <c r="EW13" s="154"/>
      <c r="EX13" s="154"/>
      <c r="EY13" s="154"/>
      <c r="EZ13" s="154"/>
      <c r="FA13" s="154"/>
      <c r="FB13" s="154"/>
      <c r="FC13" s="154"/>
      <c r="FD13" s="154"/>
      <c r="FE13" s="154"/>
      <c r="FF13" s="154"/>
      <c r="FG13" s="154"/>
      <c r="FH13" s="154"/>
      <c r="FI13" s="154"/>
      <c r="FJ13" s="154"/>
      <c r="FK13" s="154"/>
      <c r="FL13" s="154"/>
      <c r="FM13" s="154"/>
      <c r="FN13" s="154"/>
      <c r="FO13" s="154"/>
      <c r="FP13" s="154"/>
      <c r="FQ13" s="154"/>
      <c r="FR13" s="154"/>
      <c r="FS13" s="154"/>
      <c r="FT13" s="154"/>
      <c r="FU13" s="154"/>
      <c r="FV13" s="154"/>
      <c r="FW13" s="154"/>
      <c r="FX13" s="154"/>
      <c r="FY13" s="154"/>
      <c r="FZ13" s="154"/>
      <c r="GA13" s="154"/>
      <c r="GB13" s="154"/>
      <c r="GC13" s="154"/>
      <c r="GD13" s="154"/>
      <c r="GE13" s="154"/>
      <c r="GF13" s="154"/>
      <c r="GG13" s="154"/>
      <c r="GH13" s="154"/>
      <c r="GI13" s="154"/>
      <c r="GJ13" s="154"/>
      <c r="GK13" s="154"/>
      <c r="GL13" s="154"/>
      <c r="GM13" s="154"/>
      <c r="GN13" s="154"/>
      <c r="GO13" s="154"/>
      <c r="GP13" s="154"/>
      <c r="GQ13" s="154"/>
      <c r="GR13" s="154"/>
      <c r="GS13" s="154"/>
      <c r="GT13" s="154"/>
      <c r="GU13" s="154"/>
      <c r="GV13" s="154"/>
      <c r="GW13" s="154"/>
      <c r="GX13" s="154"/>
      <c r="GY13" s="154"/>
      <c r="GZ13" s="154"/>
      <c r="HA13" s="154"/>
      <c r="HB13" s="154"/>
      <c r="HC13" s="154"/>
      <c r="HD13" s="154"/>
      <c r="HE13" s="154"/>
      <c r="HF13" s="154"/>
      <c r="HG13" s="154"/>
      <c r="HH13" s="154"/>
      <c r="HI13" s="154"/>
      <c r="HJ13" s="154"/>
      <c r="HK13" s="154"/>
      <c r="HL13" s="154"/>
      <c r="HM13" s="154"/>
      <c r="HN13" s="154"/>
      <c r="HO13" s="154"/>
      <c r="HP13" s="154"/>
      <c r="HQ13" s="154"/>
      <c r="HR13" s="154"/>
      <c r="HS13" s="154"/>
      <c r="HT13" s="154"/>
      <c r="HU13" s="154"/>
      <c r="HV13" s="154"/>
      <c r="HW13" s="154"/>
      <c r="HX13" s="154"/>
      <c r="HY13" s="154"/>
      <c r="HZ13" s="154"/>
      <c r="IA13" s="154"/>
      <c r="IB13" s="154"/>
      <c r="IC13" s="154"/>
      <c r="ID13" s="154"/>
      <c r="IE13" s="154"/>
      <c r="IF13" s="154"/>
      <c r="IG13" s="154"/>
      <c r="IH13" s="154"/>
    </row>
    <row r="14" spans="2:244" s="128" customFormat="1" ht="30" customHeight="1">
      <c r="B14" s="148" t="e">
        <f>RESUMO_Preços!#REF!</f>
        <v>#REF!</v>
      </c>
      <c r="C14" s="149" t="e">
        <f>RESUMO_Preços!#REF!</f>
        <v>#REF!</v>
      </c>
      <c r="D14" s="150">
        <f>17935.05*1.0552</f>
        <v>18925.064760000001</v>
      </c>
      <c r="E14" s="150">
        <f>19228.23*(1+3.79/100)</f>
        <v>19956.979917000001</v>
      </c>
      <c r="F14" s="150">
        <f>25457.26*(1+3.8/100)*(1+3.79/100)</f>
        <v>27426.129579852</v>
      </c>
      <c r="G14" s="151"/>
      <c r="H14" s="151"/>
      <c r="I14" s="180">
        <v>17002.68</v>
      </c>
      <c r="J14" s="151"/>
      <c r="K14" s="180">
        <v>19404.8</v>
      </c>
      <c r="L14" s="181">
        <v>25125.07</v>
      </c>
      <c r="M14" s="180">
        <f>16926.75*(1+28.99/100)</f>
        <v>21833.814825000001</v>
      </c>
      <c r="N14" s="180">
        <v>29129.52</v>
      </c>
      <c r="O14" s="180">
        <v>30298.720000000001</v>
      </c>
      <c r="P14" s="180">
        <v>30396.98</v>
      </c>
      <c r="Q14" s="184">
        <f>AVERAGE(D14:P14)</f>
        <v>23949.975908185199</v>
      </c>
      <c r="R14" s="185">
        <f>MEDIAN(D14:P14)</f>
        <v>23479.442412500001</v>
      </c>
      <c r="S14" s="185">
        <f>SMALL(Q14:R14,1)</f>
        <v>23479.442412500001</v>
      </c>
      <c r="T14" s="186" t="e">
        <f>C14-S14</f>
        <v>#REF!</v>
      </c>
      <c r="U14" s="185">
        <f>AVERAGE(D14:L14)</f>
        <v>21306.787376142001</v>
      </c>
      <c r="V14" s="186" t="e">
        <f>C14-U14</f>
        <v>#REF!</v>
      </c>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4"/>
      <c r="BW14" s="154"/>
      <c r="BX14" s="154"/>
      <c r="BY14" s="154"/>
      <c r="BZ14" s="154"/>
      <c r="CA14" s="154"/>
      <c r="CB14" s="154"/>
      <c r="CC14" s="154"/>
      <c r="CD14" s="154"/>
      <c r="CE14" s="154"/>
      <c r="CF14" s="154"/>
      <c r="CG14" s="154"/>
      <c r="CH14" s="154"/>
      <c r="CI14" s="154"/>
      <c r="CJ14" s="154"/>
      <c r="CK14" s="154"/>
      <c r="CL14" s="154"/>
      <c r="CM14" s="154"/>
      <c r="CN14" s="154"/>
      <c r="CO14" s="154"/>
      <c r="CP14" s="154"/>
      <c r="CQ14" s="154"/>
      <c r="CR14" s="154"/>
      <c r="CS14" s="154"/>
      <c r="CT14" s="154"/>
      <c r="CU14" s="154"/>
      <c r="CV14" s="154"/>
      <c r="CW14" s="154"/>
      <c r="CX14" s="154"/>
      <c r="CY14" s="154"/>
      <c r="CZ14" s="154"/>
      <c r="DA14" s="154"/>
      <c r="DB14" s="154"/>
      <c r="DC14" s="154"/>
      <c r="DD14" s="154"/>
      <c r="DE14" s="154"/>
      <c r="DF14" s="154"/>
      <c r="DG14" s="154"/>
      <c r="DH14" s="154"/>
      <c r="DI14" s="154"/>
      <c r="DJ14" s="154"/>
      <c r="DK14" s="154"/>
      <c r="DL14" s="154"/>
      <c r="DM14" s="154"/>
      <c r="DN14" s="154"/>
      <c r="DO14" s="154"/>
      <c r="DP14" s="154"/>
      <c r="DQ14" s="154"/>
      <c r="DR14" s="154"/>
      <c r="DS14" s="154"/>
      <c r="DT14" s="154"/>
      <c r="DU14" s="154"/>
      <c r="DV14" s="154"/>
      <c r="DW14" s="154"/>
      <c r="DX14" s="154"/>
      <c r="DY14" s="154"/>
      <c r="DZ14" s="154"/>
      <c r="EA14" s="154"/>
      <c r="EB14" s="154"/>
      <c r="EC14" s="154"/>
      <c r="ED14" s="154"/>
      <c r="EE14" s="154"/>
      <c r="EF14" s="154"/>
      <c r="EG14" s="154"/>
      <c r="EH14" s="154"/>
      <c r="EI14" s="154"/>
      <c r="EJ14" s="154"/>
      <c r="EK14" s="154"/>
      <c r="EL14" s="154"/>
      <c r="EM14" s="154"/>
      <c r="EN14" s="154"/>
      <c r="EO14" s="154"/>
      <c r="EP14" s="154"/>
      <c r="EQ14" s="154"/>
      <c r="ER14" s="154"/>
      <c r="ES14" s="154"/>
      <c r="ET14" s="154"/>
      <c r="EU14" s="154"/>
      <c r="EV14" s="154"/>
      <c r="EW14" s="154"/>
      <c r="EX14" s="154"/>
      <c r="EY14" s="154"/>
      <c r="EZ14" s="154"/>
      <c r="FA14" s="154"/>
      <c r="FB14" s="154"/>
      <c r="FC14" s="154"/>
      <c r="FD14" s="154"/>
      <c r="FE14" s="154"/>
      <c r="FF14" s="154"/>
      <c r="FG14" s="154"/>
      <c r="FH14" s="154"/>
      <c r="FI14" s="154"/>
      <c r="FJ14" s="154"/>
      <c r="FK14" s="154"/>
      <c r="FL14" s="154"/>
      <c r="FM14" s="154"/>
      <c r="FN14" s="154"/>
      <c r="FO14" s="154"/>
      <c r="FP14" s="154"/>
      <c r="FQ14" s="154"/>
      <c r="FR14" s="154"/>
      <c r="FS14" s="154"/>
      <c r="FT14" s="154"/>
      <c r="FU14" s="154"/>
      <c r="FV14" s="154"/>
      <c r="FW14" s="154"/>
      <c r="FX14" s="154"/>
      <c r="FY14" s="154"/>
      <c r="FZ14" s="154"/>
      <c r="GA14" s="154"/>
      <c r="GB14" s="154"/>
      <c r="GC14" s="154"/>
      <c r="GD14" s="154"/>
      <c r="GE14" s="154"/>
      <c r="GF14" s="154"/>
      <c r="GG14" s="154"/>
      <c r="GH14" s="154"/>
      <c r="GI14" s="154"/>
      <c r="GJ14" s="154"/>
      <c r="GK14" s="154"/>
      <c r="GL14" s="154"/>
      <c r="GM14" s="154"/>
      <c r="GN14" s="154"/>
      <c r="GO14" s="154"/>
      <c r="GP14" s="154"/>
      <c r="GQ14" s="154"/>
      <c r="GR14" s="154"/>
      <c r="GS14" s="154"/>
      <c r="GT14" s="154"/>
      <c r="GU14" s="154"/>
      <c r="GV14" s="154"/>
      <c r="GW14" s="154"/>
      <c r="GX14" s="154"/>
      <c r="GY14" s="154"/>
      <c r="GZ14" s="154"/>
      <c r="HA14" s="154"/>
      <c r="HB14" s="154"/>
      <c r="HC14" s="154"/>
      <c r="HD14" s="154"/>
      <c r="HE14" s="154"/>
      <c r="HF14" s="154"/>
      <c r="HG14" s="154"/>
      <c r="HH14" s="154"/>
      <c r="HI14" s="154"/>
      <c r="HJ14" s="154"/>
      <c r="HK14" s="154"/>
      <c r="HL14" s="154"/>
      <c r="HM14" s="154"/>
      <c r="HN14" s="154"/>
      <c r="HO14" s="154"/>
      <c r="HP14" s="154"/>
      <c r="HQ14" s="154"/>
      <c r="HR14" s="154"/>
      <c r="HS14" s="154"/>
      <c r="HT14" s="154"/>
      <c r="HU14" s="154"/>
      <c r="HV14" s="154"/>
      <c r="HW14" s="154"/>
      <c r="HX14" s="154"/>
      <c r="HY14" s="154"/>
      <c r="HZ14" s="154"/>
      <c r="IA14" s="154"/>
      <c r="IB14" s="154"/>
      <c r="IC14" s="154"/>
      <c r="ID14" s="154"/>
      <c r="IE14" s="154"/>
      <c r="IF14" s="154"/>
      <c r="IG14" s="154"/>
      <c r="IH14" s="154"/>
    </row>
    <row r="15" spans="2:244" s="128" customFormat="1" ht="30" customHeight="1">
      <c r="B15" s="152" t="e">
        <f>RESUMO_Preços!#REF!</f>
        <v>#REF!</v>
      </c>
      <c r="C15" s="149" t="e">
        <f>RESUMO_Preços!#REF!</f>
        <v>#REF!</v>
      </c>
      <c r="D15" s="151"/>
      <c r="E15" s="151"/>
      <c r="F15" s="151"/>
      <c r="G15" s="153">
        <f>((8047.1+8047.1*61.1/100)*(1+24.41/100)+86045.84/109)</f>
        <v>16917.7721203568</v>
      </c>
      <c r="H15" s="151"/>
      <c r="I15" s="151"/>
      <c r="J15" s="151"/>
      <c r="K15" s="180">
        <v>12659.35</v>
      </c>
      <c r="L15" s="151"/>
      <c r="M15" s="180">
        <f>11749.14*(1+28.99/100)</f>
        <v>15155.215686</v>
      </c>
      <c r="N15" s="180">
        <v>19553.669999999998</v>
      </c>
      <c r="O15" s="180">
        <v>20657.86</v>
      </c>
      <c r="P15" s="180">
        <v>20611.54</v>
      </c>
      <c r="Q15" s="184">
        <f t="shared" ref="Q15:Q26" si="1">AVERAGE(D15:P15)</f>
        <v>17592.5679677261</v>
      </c>
      <c r="R15" s="185">
        <f t="shared" ref="R15:R26" si="2">MEDIAN(D15:P15)</f>
        <v>18235.721060178399</v>
      </c>
      <c r="S15" s="185">
        <f t="shared" ref="S15:S25" si="3">SMALL(Q15:R15,1)</f>
        <v>17592.5679677261</v>
      </c>
      <c r="T15" s="186" t="e">
        <f t="shared" ref="T15:T25" si="4">C15-S15</f>
        <v>#REF!</v>
      </c>
      <c r="U15" s="185">
        <f t="shared" ref="U15:U26" si="5">AVERAGE(D15:L15)</f>
        <v>14788.561060178399</v>
      </c>
      <c r="V15" s="186" t="e">
        <f t="shared" ref="V15:V26" si="6">C15-U15</f>
        <v>#REF!</v>
      </c>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4"/>
      <c r="CU15" s="154"/>
      <c r="CV15" s="154"/>
      <c r="CW15" s="154"/>
      <c r="CX15" s="154"/>
      <c r="CY15" s="154"/>
      <c r="CZ15" s="154"/>
      <c r="DA15" s="154"/>
      <c r="DB15" s="154"/>
      <c r="DC15" s="154"/>
      <c r="DD15" s="154"/>
      <c r="DE15" s="154"/>
      <c r="DF15" s="154"/>
      <c r="DG15" s="154"/>
      <c r="DH15" s="154"/>
      <c r="DI15" s="154"/>
      <c r="DJ15" s="154"/>
      <c r="DK15" s="154"/>
      <c r="DL15" s="154"/>
      <c r="DM15" s="154"/>
      <c r="DN15" s="154"/>
      <c r="DO15" s="154"/>
      <c r="DP15" s="154"/>
      <c r="DQ15" s="154"/>
      <c r="DR15" s="154"/>
      <c r="DS15" s="154"/>
      <c r="DT15" s="154"/>
      <c r="DU15" s="154"/>
      <c r="DV15" s="154"/>
      <c r="DW15" s="154"/>
      <c r="DX15" s="154"/>
      <c r="DY15" s="154"/>
      <c r="DZ15" s="154"/>
      <c r="EA15" s="154"/>
      <c r="EB15" s="154"/>
      <c r="EC15" s="154"/>
      <c r="ED15" s="154"/>
      <c r="EE15" s="154"/>
      <c r="EF15" s="154"/>
      <c r="EG15" s="154"/>
      <c r="EH15" s="154"/>
      <c r="EI15" s="154"/>
      <c r="EJ15" s="154"/>
      <c r="EK15" s="154"/>
      <c r="EL15" s="154"/>
      <c r="EM15" s="154"/>
      <c r="EN15" s="154"/>
      <c r="EO15" s="154"/>
      <c r="EP15" s="154"/>
      <c r="EQ15" s="154"/>
      <c r="ER15" s="154"/>
      <c r="ES15" s="154"/>
      <c r="ET15" s="154"/>
      <c r="EU15" s="154"/>
      <c r="EV15" s="154"/>
      <c r="EW15" s="154"/>
      <c r="EX15" s="154"/>
      <c r="EY15" s="154"/>
      <c r="EZ15" s="154"/>
      <c r="FA15" s="154"/>
      <c r="FB15" s="154"/>
      <c r="FC15" s="154"/>
      <c r="FD15" s="154"/>
      <c r="FE15" s="154"/>
      <c r="FF15" s="154"/>
      <c r="FG15" s="154"/>
      <c r="FH15" s="154"/>
      <c r="FI15" s="154"/>
      <c r="FJ15" s="154"/>
      <c r="FK15" s="154"/>
      <c r="FL15" s="154"/>
      <c r="FM15" s="154"/>
      <c r="FN15" s="154"/>
      <c r="FO15" s="154"/>
      <c r="FP15" s="154"/>
      <c r="FQ15" s="154"/>
      <c r="FR15" s="154"/>
      <c r="FS15" s="154"/>
      <c r="FT15" s="154"/>
      <c r="FU15" s="154"/>
      <c r="FV15" s="154"/>
      <c r="FW15" s="154"/>
      <c r="FX15" s="154"/>
      <c r="FY15" s="154"/>
      <c r="FZ15" s="154"/>
      <c r="GA15" s="154"/>
      <c r="GB15" s="154"/>
      <c r="GC15" s="154"/>
      <c r="GD15" s="154"/>
      <c r="GE15" s="154"/>
      <c r="GF15" s="154"/>
      <c r="GG15" s="154"/>
      <c r="GH15" s="154"/>
      <c r="GI15" s="154"/>
      <c r="GJ15" s="154"/>
      <c r="GK15" s="154"/>
      <c r="GL15" s="154"/>
      <c r="GM15" s="154"/>
      <c r="GN15" s="154"/>
      <c r="GO15" s="154"/>
      <c r="GP15" s="154"/>
      <c r="GQ15" s="154"/>
      <c r="GR15" s="154"/>
      <c r="GS15" s="154"/>
      <c r="GT15" s="154"/>
      <c r="GU15" s="154"/>
      <c r="GV15" s="154"/>
      <c r="GW15" s="154"/>
      <c r="GX15" s="154"/>
      <c r="GY15" s="154"/>
      <c r="GZ15" s="154"/>
      <c r="HA15" s="154"/>
      <c r="HB15" s="154"/>
      <c r="HC15" s="154"/>
      <c r="HD15" s="154"/>
      <c r="HE15" s="154"/>
      <c r="HF15" s="154"/>
      <c r="HG15" s="154"/>
      <c r="HH15" s="154"/>
      <c r="HI15" s="154"/>
      <c r="HJ15" s="154"/>
      <c r="HK15" s="154"/>
      <c r="HL15" s="154"/>
      <c r="HM15" s="154"/>
      <c r="HN15" s="154"/>
      <c r="HO15" s="154"/>
      <c r="HP15" s="154"/>
      <c r="HQ15" s="154"/>
      <c r="HR15" s="154"/>
      <c r="HS15" s="154"/>
      <c r="HT15" s="154"/>
      <c r="HU15" s="154"/>
      <c r="HV15" s="154"/>
      <c r="HW15" s="154"/>
      <c r="HX15" s="154"/>
      <c r="HY15" s="154"/>
      <c r="HZ15" s="154"/>
      <c r="IA15" s="154"/>
      <c r="IB15" s="154"/>
      <c r="IC15" s="154"/>
      <c r="ID15" s="154"/>
      <c r="IE15" s="154"/>
      <c r="IF15" s="154"/>
      <c r="IG15" s="154"/>
      <c r="IH15" s="154"/>
    </row>
    <row r="16" spans="2:244" s="128" customFormat="1" ht="30" customHeight="1">
      <c r="B16" s="152" t="e">
        <f>RESUMO_Preços!#REF!</f>
        <v>#REF!</v>
      </c>
      <c r="C16" s="149" t="e">
        <f>RESUMO_Preços!#REF!</f>
        <v>#REF!</v>
      </c>
      <c r="D16" s="150">
        <f>7181.26*(1+3.8/100)*(1+3.79/100)</f>
        <v>7736.6600846519996</v>
      </c>
      <c r="E16" s="150">
        <f>7281.9*(1+3.79/100)</f>
        <v>7557.8840099999998</v>
      </c>
      <c r="F16" s="150">
        <f>7631.23*(1+3.8/100)*(1+3.79/100)</f>
        <v>8221.430854446</v>
      </c>
      <c r="G16" s="151"/>
      <c r="H16" s="151"/>
      <c r="I16" s="180">
        <v>8861.68</v>
      </c>
      <c r="J16" s="151"/>
      <c r="K16" s="151"/>
      <c r="L16" s="180">
        <v>9005.7800000000007</v>
      </c>
      <c r="M16" s="180">
        <f>7202.3*(1+28.99/100)</f>
        <v>9290.2467699999997</v>
      </c>
      <c r="N16" s="180">
        <v>12526.02</v>
      </c>
      <c r="O16" s="180">
        <v>12468.98</v>
      </c>
      <c r="P16" s="180">
        <v>13276.9</v>
      </c>
      <c r="Q16" s="184">
        <f t="shared" si="1"/>
        <v>9882.8424132331093</v>
      </c>
      <c r="R16" s="185">
        <f t="shared" si="2"/>
        <v>9005.7800000000007</v>
      </c>
      <c r="S16" s="185">
        <f t="shared" si="3"/>
        <v>9005.7800000000007</v>
      </c>
      <c r="T16" s="186" t="e">
        <f t="shared" si="4"/>
        <v>#REF!</v>
      </c>
      <c r="U16" s="185">
        <f t="shared" si="5"/>
        <v>8276.6869898196001</v>
      </c>
      <c r="V16" s="187" t="e">
        <f t="shared" si="6"/>
        <v>#REF!</v>
      </c>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c r="DA16" s="154"/>
      <c r="DB16" s="154"/>
      <c r="DC16" s="154"/>
      <c r="DD16" s="154"/>
      <c r="DE16" s="154"/>
      <c r="DF16" s="154"/>
      <c r="DG16" s="154"/>
      <c r="DH16" s="154"/>
      <c r="DI16" s="154"/>
      <c r="DJ16" s="154"/>
      <c r="DK16" s="154"/>
      <c r="DL16" s="154"/>
      <c r="DM16" s="154"/>
      <c r="DN16" s="154"/>
      <c r="DO16" s="154"/>
      <c r="DP16" s="154"/>
      <c r="DQ16" s="154"/>
      <c r="DR16" s="154"/>
      <c r="DS16" s="154"/>
      <c r="DT16" s="154"/>
      <c r="DU16" s="154"/>
      <c r="DV16" s="154"/>
      <c r="DW16" s="154"/>
      <c r="DX16" s="154"/>
      <c r="DY16" s="154"/>
      <c r="DZ16" s="154"/>
      <c r="EA16" s="154"/>
      <c r="EB16" s="154"/>
      <c r="EC16" s="154"/>
      <c r="ED16" s="154"/>
      <c r="EE16" s="154"/>
      <c r="EF16" s="154"/>
      <c r="EG16" s="154"/>
      <c r="EH16" s="154"/>
      <c r="EI16" s="154"/>
      <c r="EJ16" s="154"/>
      <c r="EK16" s="154"/>
      <c r="EL16" s="154"/>
      <c r="EM16" s="154"/>
      <c r="EN16" s="154"/>
      <c r="EO16" s="154"/>
      <c r="EP16" s="154"/>
      <c r="EQ16" s="154"/>
      <c r="ER16" s="154"/>
      <c r="ES16" s="154"/>
      <c r="ET16" s="154"/>
      <c r="EU16" s="154"/>
      <c r="EV16" s="154"/>
      <c r="EW16" s="154"/>
      <c r="EX16" s="154"/>
      <c r="EY16" s="154"/>
      <c r="EZ16" s="154"/>
      <c r="FA16" s="154"/>
      <c r="FB16" s="154"/>
      <c r="FC16" s="154"/>
      <c r="FD16" s="154"/>
      <c r="FE16" s="154"/>
      <c r="FF16" s="154"/>
      <c r="FG16" s="154"/>
      <c r="FH16" s="154"/>
      <c r="FI16" s="154"/>
      <c r="FJ16" s="154"/>
      <c r="FK16" s="154"/>
      <c r="FL16" s="154"/>
      <c r="FM16" s="154"/>
      <c r="FN16" s="154"/>
      <c r="FO16" s="154"/>
      <c r="FP16" s="154"/>
      <c r="FQ16" s="154"/>
      <c r="FR16" s="154"/>
      <c r="FS16" s="154"/>
      <c r="FT16" s="154"/>
      <c r="FU16" s="154"/>
      <c r="FV16" s="154"/>
      <c r="FW16" s="154"/>
      <c r="FX16" s="154"/>
      <c r="FY16" s="154"/>
      <c r="FZ16" s="154"/>
      <c r="GA16" s="154"/>
      <c r="GB16" s="154"/>
      <c r="GC16" s="154"/>
      <c r="GD16" s="154"/>
      <c r="GE16" s="154"/>
      <c r="GF16" s="154"/>
      <c r="GG16" s="154"/>
      <c r="GH16" s="154"/>
      <c r="GI16" s="154"/>
      <c r="GJ16" s="154"/>
      <c r="GK16" s="154"/>
      <c r="GL16" s="154"/>
      <c r="GM16" s="154"/>
      <c r="GN16" s="154"/>
      <c r="GO16" s="154"/>
      <c r="GP16" s="154"/>
      <c r="GQ16" s="154"/>
      <c r="GR16" s="154"/>
      <c r="GS16" s="154"/>
      <c r="GT16" s="154"/>
      <c r="GU16" s="154"/>
      <c r="GV16" s="154"/>
      <c r="GW16" s="154"/>
      <c r="GX16" s="154"/>
      <c r="GY16" s="154"/>
      <c r="GZ16" s="154"/>
      <c r="HA16" s="154"/>
      <c r="HB16" s="154"/>
      <c r="HC16" s="154"/>
      <c r="HD16" s="154"/>
      <c r="HE16" s="154"/>
      <c r="HF16" s="154"/>
      <c r="HG16" s="154"/>
      <c r="HH16" s="154"/>
      <c r="HI16" s="154"/>
      <c r="HJ16" s="154"/>
      <c r="HK16" s="154"/>
      <c r="HL16" s="154"/>
      <c r="HM16" s="154"/>
      <c r="HN16" s="154"/>
      <c r="HO16" s="154"/>
      <c r="HP16" s="154"/>
      <c r="HQ16" s="154"/>
      <c r="HR16" s="154"/>
      <c r="HS16" s="154"/>
      <c r="HT16" s="154"/>
      <c r="HU16" s="154"/>
      <c r="HV16" s="154"/>
      <c r="HW16" s="154"/>
      <c r="HX16" s="154"/>
      <c r="HY16" s="154"/>
      <c r="HZ16" s="154"/>
      <c r="IA16" s="154"/>
      <c r="IB16" s="154"/>
      <c r="IC16" s="154"/>
      <c r="ID16" s="154"/>
      <c r="IE16" s="154"/>
      <c r="IF16" s="154"/>
      <c r="IG16" s="154"/>
      <c r="IH16" s="154"/>
    </row>
    <row r="17" spans="2:244" s="128" customFormat="1" ht="30" customHeight="1">
      <c r="B17" s="152" t="e">
        <f>RESUMO_Preços!#REF!</f>
        <v>#REF!</v>
      </c>
      <c r="C17" s="149" t="e">
        <f>RESUMO_Preços!#REF!</f>
        <v>#REF!</v>
      </c>
      <c r="D17" s="150">
        <f>4365.04*(1+3.8/100)*(1+3.79/100)</f>
        <v>4702.6330666080003</v>
      </c>
      <c r="E17" s="151"/>
      <c r="F17" s="150">
        <f>6279.49*(1+3.8/100)*(1+3.79/100)</f>
        <v>6765.1470124979996</v>
      </c>
      <c r="G17" s="153">
        <f>((4878.33+4878.33*61.1/100)*(1+24.41/100)+86045.84/109)</f>
        <v>10566.780374829799</v>
      </c>
      <c r="H17" s="153">
        <v>6849.8</v>
      </c>
      <c r="I17" s="180">
        <v>6942.02</v>
      </c>
      <c r="J17" s="151"/>
      <c r="K17" s="151"/>
      <c r="L17" s="180">
        <v>5922.23</v>
      </c>
      <c r="M17" s="180">
        <f>4974.35*(1+28.99/100)</f>
        <v>6416.4140649999999</v>
      </c>
      <c r="N17" s="180">
        <v>8068.92</v>
      </c>
      <c r="O17" s="180">
        <v>7380.49</v>
      </c>
      <c r="P17" s="180">
        <v>8613.4</v>
      </c>
      <c r="Q17" s="184">
        <f t="shared" si="1"/>
        <v>7222.7834518935797</v>
      </c>
      <c r="R17" s="185">
        <f t="shared" si="2"/>
        <v>6895.91</v>
      </c>
      <c r="S17" s="185">
        <f t="shared" si="3"/>
        <v>6895.91</v>
      </c>
      <c r="T17" s="186" t="e">
        <f t="shared" si="4"/>
        <v>#REF!</v>
      </c>
      <c r="U17" s="185">
        <f t="shared" si="5"/>
        <v>6958.1017423226303</v>
      </c>
      <c r="V17" s="186" t="e">
        <f t="shared" si="6"/>
        <v>#REF!</v>
      </c>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4"/>
      <c r="DQ17" s="154"/>
      <c r="DR17" s="154"/>
      <c r="DS17" s="154"/>
      <c r="DT17" s="154"/>
      <c r="DU17" s="154"/>
      <c r="DV17" s="154"/>
      <c r="DW17" s="154"/>
      <c r="DX17" s="154"/>
      <c r="DY17" s="154"/>
      <c r="DZ17" s="154"/>
      <c r="EA17" s="154"/>
      <c r="EB17" s="154"/>
      <c r="EC17" s="154"/>
      <c r="ED17" s="154"/>
      <c r="EE17" s="154"/>
      <c r="EF17" s="154"/>
      <c r="EG17" s="154"/>
      <c r="EH17" s="154"/>
      <c r="EI17" s="154"/>
      <c r="EJ17" s="154"/>
      <c r="EK17" s="154"/>
      <c r="EL17" s="154"/>
      <c r="EM17" s="154"/>
      <c r="EN17" s="154"/>
      <c r="EO17" s="154"/>
      <c r="EP17" s="154"/>
      <c r="EQ17" s="154"/>
      <c r="ER17" s="154"/>
      <c r="ES17" s="154"/>
      <c r="ET17" s="154"/>
      <c r="EU17" s="154"/>
      <c r="EV17" s="154"/>
      <c r="EW17" s="154"/>
      <c r="EX17" s="154"/>
      <c r="EY17" s="154"/>
      <c r="EZ17" s="154"/>
      <c r="FA17" s="154"/>
      <c r="FB17" s="154"/>
      <c r="FC17" s="154"/>
      <c r="FD17" s="154"/>
      <c r="FE17" s="154"/>
      <c r="FF17" s="154"/>
      <c r="FG17" s="154"/>
      <c r="FH17" s="154"/>
      <c r="FI17" s="154"/>
      <c r="FJ17" s="154"/>
      <c r="FK17" s="154"/>
      <c r="FL17" s="154"/>
      <c r="FM17" s="154"/>
      <c r="FN17" s="154"/>
      <c r="FO17" s="154"/>
      <c r="FP17" s="154"/>
      <c r="FQ17" s="154"/>
      <c r="FR17" s="154"/>
      <c r="FS17" s="154"/>
      <c r="FT17" s="154"/>
      <c r="FU17" s="154"/>
      <c r="FV17" s="154"/>
      <c r="FW17" s="154"/>
      <c r="FX17" s="154"/>
      <c r="FY17" s="154"/>
      <c r="FZ17" s="154"/>
      <c r="GA17" s="154"/>
      <c r="GB17" s="154"/>
      <c r="GC17" s="154"/>
      <c r="GD17" s="154"/>
      <c r="GE17" s="154"/>
      <c r="GF17" s="154"/>
      <c r="GG17" s="154"/>
      <c r="GH17" s="154"/>
      <c r="GI17" s="154"/>
      <c r="GJ17" s="154"/>
      <c r="GK17" s="154"/>
      <c r="GL17" s="154"/>
      <c r="GM17" s="154"/>
      <c r="GN17" s="154"/>
      <c r="GO17" s="154"/>
      <c r="GP17" s="154"/>
      <c r="GQ17" s="154"/>
      <c r="GR17" s="154"/>
      <c r="GS17" s="154"/>
      <c r="GT17" s="154"/>
      <c r="GU17" s="154"/>
      <c r="GV17" s="154"/>
      <c r="GW17" s="154"/>
      <c r="GX17" s="154"/>
      <c r="GY17" s="154"/>
      <c r="GZ17" s="154"/>
      <c r="HA17" s="154"/>
      <c r="HB17" s="154"/>
      <c r="HC17" s="154"/>
      <c r="HD17" s="154"/>
      <c r="HE17" s="154"/>
      <c r="HF17" s="154"/>
      <c r="HG17" s="154"/>
      <c r="HH17" s="154"/>
      <c r="HI17" s="154"/>
      <c r="HJ17" s="154"/>
      <c r="HK17" s="154"/>
      <c r="HL17" s="154"/>
      <c r="HM17" s="154"/>
      <c r="HN17" s="154"/>
      <c r="HO17" s="154"/>
      <c r="HP17" s="154"/>
      <c r="HQ17" s="154"/>
      <c r="HR17" s="154"/>
      <c r="HS17" s="154"/>
      <c r="HT17" s="154"/>
      <c r="HU17" s="154"/>
      <c r="HV17" s="154"/>
      <c r="HW17" s="154"/>
      <c r="HX17" s="154"/>
      <c r="HY17" s="154"/>
      <c r="HZ17" s="154"/>
      <c r="IA17" s="154"/>
      <c r="IB17" s="154"/>
      <c r="IC17" s="154"/>
      <c r="ID17" s="154"/>
      <c r="IE17" s="154"/>
      <c r="IF17" s="154"/>
      <c r="IG17" s="154"/>
      <c r="IH17" s="154"/>
    </row>
    <row r="18" spans="2:244" s="128" customFormat="1" ht="30" customHeight="1">
      <c r="B18" s="148" t="e">
        <f>RESUMO_Preços!#REF!</f>
        <v>#REF!</v>
      </c>
      <c r="C18" s="149" t="e">
        <f>RESUMO_Preços!#REF!</f>
        <v>#REF!</v>
      </c>
      <c r="D18" s="150">
        <f>4441.6*(1+3.8/100)*(1+3.79/100)</f>
        <v>4785.1142323200002</v>
      </c>
      <c r="E18" s="150">
        <f>4750.07*(1+3.79/100)</f>
        <v>4930.0976529999998</v>
      </c>
      <c r="F18" s="150">
        <f>7049.3*(1+3.8/100)*(1+3.79/100)</f>
        <v>7594.4942718599996</v>
      </c>
      <c r="G18" s="151"/>
      <c r="H18" s="151"/>
      <c r="I18" s="180">
        <v>6835.23</v>
      </c>
      <c r="J18" s="151"/>
      <c r="K18" s="151"/>
      <c r="L18" s="180">
        <v>5195.6000000000004</v>
      </c>
      <c r="M18" s="180">
        <f>4542.22*(1+28.99/100)</f>
        <v>5859.0095780000001</v>
      </c>
      <c r="N18" s="180">
        <v>8285.81</v>
      </c>
      <c r="O18" s="180">
        <v>7601.35</v>
      </c>
      <c r="P18" s="180">
        <v>8839.2000000000007</v>
      </c>
      <c r="Q18" s="184">
        <f t="shared" si="1"/>
        <v>6658.4339705755601</v>
      </c>
      <c r="R18" s="185">
        <f t="shared" si="2"/>
        <v>6835.23</v>
      </c>
      <c r="S18" s="185">
        <f t="shared" si="3"/>
        <v>6658.4339705755601</v>
      </c>
      <c r="T18" s="186" t="e">
        <f t="shared" si="4"/>
        <v>#REF!</v>
      </c>
      <c r="U18" s="185">
        <f t="shared" si="5"/>
        <v>5868.1072314359999</v>
      </c>
      <c r="V18" s="186" t="e">
        <f t="shared" si="6"/>
        <v>#REF!</v>
      </c>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154"/>
      <c r="DC18" s="154"/>
      <c r="DD18" s="154"/>
      <c r="DE18" s="154"/>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154"/>
      <c r="EP18" s="154"/>
      <c r="EQ18" s="154"/>
      <c r="ER18" s="154"/>
      <c r="ES18" s="154"/>
      <c r="ET18" s="154"/>
      <c r="EU18" s="154"/>
      <c r="EV18" s="154"/>
      <c r="EW18" s="154"/>
      <c r="EX18" s="154"/>
      <c r="EY18" s="154"/>
      <c r="EZ18" s="154"/>
      <c r="FA18" s="154"/>
      <c r="FB18" s="154"/>
      <c r="FC18" s="154"/>
      <c r="FD18" s="154"/>
      <c r="FE18" s="154"/>
      <c r="FF18" s="154"/>
      <c r="FG18" s="154"/>
      <c r="FH18" s="154"/>
      <c r="FI18" s="154"/>
      <c r="FJ18" s="154"/>
      <c r="FK18" s="154"/>
      <c r="FL18" s="154"/>
      <c r="FM18" s="154"/>
      <c r="FN18" s="154"/>
      <c r="FO18" s="154"/>
      <c r="FP18" s="154"/>
      <c r="FQ18" s="154"/>
      <c r="FR18" s="154"/>
      <c r="FS18" s="154"/>
      <c r="FT18" s="154"/>
      <c r="FU18" s="154"/>
      <c r="FV18" s="154"/>
      <c r="FW18" s="154"/>
      <c r="FX18" s="154"/>
      <c r="FY18" s="154"/>
      <c r="FZ18" s="154"/>
      <c r="GA18" s="154"/>
      <c r="GB18" s="154"/>
      <c r="GC18" s="154"/>
      <c r="GD18" s="154"/>
      <c r="GE18" s="154"/>
      <c r="GF18" s="154"/>
      <c r="GG18" s="154"/>
      <c r="GH18" s="154"/>
      <c r="GI18" s="154"/>
      <c r="GJ18" s="154"/>
      <c r="GK18" s="154"/>
      <c r="GL18" s="154"/>
      <c r="GM18" s="154"/>
      <c r="GN18" s="154"/>
      <c r="GO18" s="154"/>
      <c r="GP18" s="154"/>
      <c r="GQ18" s="154"/>
      <c r="GR18" s="154"/>
      <c r="GS18" s="154"/>
      <c r="GT18" s="154"/>
      <c r="GU18" s="154"/>
      <c r="GV18" s="154"/>
      <c r="GW18" s="154"/>
      <c r="GX18" s="154"/>
      <c r="GY18" s="154"/>
      <c r="GZ18" s="154"/>
      <c r="HA18" s="154"/>
      <c r="HB18" s="154"/>
      <c r="HC18" s="154"/>
      <c r="HD18" s="154"/>
      <c r="HE18" s="154"/>
      <c r="HF18" s="154"/>
      <c r="HG18" s="154"/>
      <c r="HH18" s="154"/>
      <c r="HI18" s="154"/>
      <c r="HJ18" s="154"/>
      <c r="HK18" s="154"/>
      <c r="HL18" s="154"/>
      <c r="HM18" s="154"/>
      <c r="HN18" s="154"/>
      <c r="HO18" s="154"/>
      <c r="HP18" s="154"/>
      <c r="HQ18" s="154"/>
      <c r="HR18" s="154"/>
      <c r="HS18" s="154"/>
      <c r="HT18" s="154"/>
      <c r="HU18" s="154"/>
      <c r="HV18" s="154"/>
      <c r="HW18" s="154"/>
      <c r="HX18" s="154"/>
      <c r="HY18" s="154"/>
      <c r="HZ18" s="154"/>
      <c r="IA18" s="154"/>
      <c r="IB18" s="154"/>
      <c r="IC18" s="154"/>
      <c r="ID18" s="154"/>
      <c r="IE18" s="154"/>
      <c r="IF18" s="154"/>
      <c r="IG18" s="154"/>
      <c r="IH18" s="154"/>
    </row>
    <row r="19" spans="2:244" s="128" customFormat="1" ht="30" customHeight="1">
      <c r="B19" s="148" t="e">
        <f>RESUMO_Preços!#REF!</f>
        <v>#REF!</v>
      </c>
      <c r="C19" s="149" t="e">
        <f>RESUMO_Preços!#REF!</f>
        <v>#REF!</v>
      </c>
      <c r="D19" s="153">
        <f>4441.6*(1+3.8/100)*(1+3.79/100)</f>
        <v>4785.1142323200002</v>
      </c>
      <c r="E19" s="151"/>
      <c r="F19" s="150">
        <f>4727.95*(1+3.8/100)*(1+3.79/100)</f>
        <v>5093.6105985900003</v>
      </c>
      <c r="G19" s="151"/>
      <c r="H19" s="151"/>
      <c r="I19" s="180">
        <v>6437.21</v>
      </c>
      <c r="J19" s="151"/>
      <c r="K19" s="151"/>
      <c r="L19" s="180">
        <v>4724.3100000000004</v>
      </c>
      <c r="M19" s="180">
        <f>4383.07*(1+28.99/100)</f>
        <v>5653.7219930000001</v>
      </c>
      <c r="N19" s="180">
        <v>8068.92</v>
      </c>
      <c r="O19" s="180">
        <v>7380.49</v>
      </c>
      <c r="P19" s="180">
        <v>8613.4</v>
      </c>
      <c r="Q19" s="184">
        <f t="shared" si="1"/>
        <v>6344.5971029887496</v>
      </c>
      <c r="R19" s="185">
        <f t="shared" si="2"/>
        <v>6045.4659965000001</v>
      </c>
      <c r="S19" s="185">
        <f t="shared" si="3"/>
        <v>6045.4659965000001</v>
      </c>
      <c r="T19" s="186" t="e">
        <f t="shared" si="4"/>
        <v>#REF!</v>
      </c>
      <c r="U19" s="185">
        <f t="shared" si="5"/>
        <v>5260.0612077275</v>
      </c>
      <c r="V19" s="187" t="e">
        <f t="shared" si="6"/>
        <v>#REF!</v>
      </c>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c r="DA19" s="154"/>
      <c r="DB19" s="154"/>
      <c r="DC19" s="154"/>
      <c r="DD19" s="154"/>
      <c r="DE19" s="154"/>
      <c r="DF19" s="154"/>
      <c r="DG19" s="154"/>
      <c r="DH19" s="154"/>
      <c r="DI19" s="154"/>
      <c r="DJ19" s="154"/>
      <c r="DK19" s="154"/>
      <c r="DL19" s="154"/>
      <c r="DM19" s="154"/>
      <c r="DN19" s="154"/>
      <c r="DO19" s="154"/>
      <c r="DP19" s="154"/>
      <c r="DQ19" s="154"/>
      <c r="DR19" s="154"/>
      <c r="DS19" s="154"/>
      <c r="DT19" s="154"/>
      <c r="DU19" s="154"/>
      <c r="DV19" s="154"/>
      <c r="DW19" s="154"/>
      <c r="DX19" s="154"/>
      <c r="DY19" s="154"/>
      <c r="DZ19" s="154"/>
      <c r="EA19" s="154"/>
      <c r="EB19" s="154"/>
      <c r="EC19" s="154"/>
      <c r="ED19" s="154"/>
      <c r="EE19" s="154"/>
      <c r="EF19" s="154"/>
      <c r="EG19" s="154"/>
      <c r="EH19" s="154"/>
      <c r="EI19" s="154"/>
      <c r="EJ19" s="154"/>
      <c r="EK19" s="154"/>
      <c r="EL19" s="154"/>
      <c r="EM19" s="154"/>
      <c r="EN19" s="154"/>
      <c r="EO19" s="154"/>
      <c r="EP19" s="154"/>
      <c r="EQ19" s="154"/>
      <c r="ER19" s="154"/>
      <c r="ES19" s="154"/>
      <c r="ET19" s="154"/>
      <c r="EU19" s="154"/>
      <c r="EV19" s="154"/>
      <c r="EW19" s="154"/>
      <c r="EX19" s="154"/>
      <c r="EY19" s="154"/>
      <c r="EZ19" s="154"/>
      <c r="FA19" s="154"/>
      <c r="FB19" s="154"/>
      <c r="FC19" s="154"/>
      <c r="FD19" s="154"/>
      <c r="FE19" s="154"/>
      <c r="FF19" s="154"/>
      <c r="FG19" s="154"/>
      <c r="FH19" s="154"/>
      <c r="FI19" s="154"/>
      <c r="FJ19" s="154"/>
      <c r="FK19" s="154"/>
      <c r="FL19" s="154"/>
      <c r="FM19" s="154"/>
      <c r="FN19" s="154"/>
      <c r="FO19" s="154"/>
      <c r="FP19" s="154"/>
      <c r="FQ19" s="154"/>
      <c r="FR19" s="154"/>
      <c r="FS19" s="154"/>
      <c r="FT19" s="154"/>
      <c r="FU19" s="154"/>
      <c r="FV19" s="154"/>
      <c r="FW19" s="154"/>
      <c r="FX19" s="154"/>
      <c r="FY19" s="154"/>
      <c r="FZ19" s="154"/>
      <c r="GA19" s="154"/>
      <c r="GB19" s="154"/>
      <c r="GC19" s="154"/>
      <c r="GD19" s="154"/>
      <c r="GE19" s="154"/>
      <c r="GF19" s="154"/>
      <c r="GG19" s="154"/>
      <c r="GH19" s="154"/>
      <c r="GI19" s="154"/>
      <c r="GJ19" s="154"/>
      <c r="GK19" s="154"/>
      <c r="GL19" s="154"/>
      <c r="GM19" s="154"/>
      <c r="GN19" s="154"/>
      <c r="GO19" s="154"/>
      <c r="GP19" s="154"/>
      <c r="GQ19" s="154"/>
      <c r="GR19" s="154"/>
      <c r="GS19" s="154"/>
      <c r="GT19" s="154"/>
      <c r="GU19" s="154"/>
      <c r="GV19" s="154"/>
      <c r="GW19" s="154"/>
      <c r="GX19" s="154"/>
      <c r="GY19" s="154"/>
      <c r="GZ19" s="154"/>
      <c r="HA19" s="154"/>
      <c r="HB19" s="154"/>
      <c r="HC19" s="154"/>
      <c r="HD19" s="154"/>
      <c r="HE19" s="154"/>
      <c r="HF19" s="154"/>
      <c r="HG19" s="154"/>
      <c r="HH19" s="154"/>
      <c r="HI19" s="154"/>
      <c r="HJ19" s="154"/>
      <c r="HK19" s="154"/>
      <c r="HL19" s="154"/>
      <c r="HM19" s="154"/>
      <c r="HN19" s="154"/>
      <c r="HO19" s="154"/>
      <c r="HP19" s="154"/>
      <c r="HQ19" s="154"/>
      <c r="HR19" s="154"/>
      <c r="HS19" s="154"/>
      <c r="HT19" s="154"/>
      <c r="HU19" s="154"/>
      <c r="HV19" s="154"/>
      <c r="HW19" s="154"/>
      <c r="HX19" s="154"/>
      <c r="HY19" s="154"/>
      <c r="HZ19" s="154"/>
      <c r="IA19" s="154"/>
      <c r="IB19" s="154"/>
      <c r="IC19" s="154"/>
      <c r="ID19" s="154"/>
      <c r="IE19" s="154"/>
      <c r="IF19" s="154"/>
      <c r="IG19" s="154"/>
      <c r="IH19" s="154"/>
    </row>
    <row r="20" spans="2:244" s="128" customFormat="1" ht="30" customHeight="1">
      <c r="B20" s="148" t="e">
        <f>RESUMO_Preços!#REF!</f>
        <v>#REF!</v>
      </c>
      <c r="C20" s="149" t="e">
        <f>RESUMO_Preços!#REF!</f>
        <v>#REF!</v>
      </c>
      <c r="D20" s="153">
        <f>4441.6*(1+3.8/100)*(1+3.79/100)</f>
        <v>4785.1142323200002</v>
      </c>
      <c r="E20" s="151"/>
      <c r="F20" s="150">
        <f>4727.95*(1+3.8/100)*(1+3.79/100)</f>
        <v>5093.6105985900003</v>
      </c>
      <c r="G20" s="151"/>
      <c r="H20" s="151"/>
      <c r="I20" s="180">
        <v>6450.18</v>
      </c>
      <c r="J20" s="151"/>
      <c r="K20" s="151"/>
      <c r="L20" s="180">
        <v>4724.3100000000004</v>
      </c>
      <c r="M20" s="180">
        <f>4383.07*(1+28.99/100)</f>
        <v>5653.7219930000001</v>
      </c>
      <c r="N20" s="180">
        <v>8068.92</v>
      </c>
      <c r="O20" s="180">
        <v>7380.49</v>
      </c>
      <c r="P20" s="180">
        <v>8613.4</v>
      </c>
      <c r="Q20" s="184">
        <f t="shared" si="1"/>
        <v>6346.2183529887498</v>
      </c>
      <c r="R20" s="185">
        <f t="shared" si="2"/>
        <v>6051.9509964999997</v>
      </c>
      <c r="S20" s="185">
        <f t="shared" si="3"/>
        <v>6051.9509964999997</v>
      </c>
      <c r="T20" s="186" t="e">
        <f t="shared" si="4"/>
        <v>#REF!</v>
      </c>
      <c r="U20" s="185">
        <f t="shared" si="5"/>
        <v>5263.3037077275003</v>
      </c>
      <c r="V20" s="187" t="e">
        <f t="shared" si="6"/>
        <v>#REF!</v>
      </c>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4"/>
      <c r="CQ20" s="154"/>
      <c r="CR20" s="154"/>
      <c r="CS20" s="154"/>
      <c r="CT20" s="154"/>
      <c r="CU20" s="154"/>
      <c r="CV20" s="154"/>
      <c r="CW20" s="154"/>
      <c r="CX20" s="154"/>
      <c r="CY20" s="154"/>
      <c r="CZ20" s="154"/>
      <c r="DA20" s="154"/>
      <c r="DB20" s="154"/>
      <c r="DC20" s="154"/>
      <c r="DD20" s="154"/>
      <c r="DE20" s="154"/>
      <c r="DF20" s="154"/>
      <c r="DG20" s="154"/>
      <c r="DH20" s="154"/>
      <c r="DI20" s="154"/>
      <c r="DJ20" s="154"/>
      <c r="DK20" s="154"/>
      <c r="DL20" s="154"/>
      <c r="DM20" s="154"/>
      <c r="DN20" s="154"/>
      <c r="DO20" s="154"/>
      <c r="DP20" s="154"/>
      <c r="DQ20" s="154"/>
      <c r="DR20" s="154"/>
      <c r="DS20" s="154"/>
      <c r="DT20" s="154"/>
      <c r="DU20" s="154"/>
      <c r="DV20" s="154"/>
      <c r="DW20" s="154"/>
      <c r="DX20" s="154"/>
      <c r="DY20" s="154"/>
      <c r="DZ20" s="154"/>
      <c r="EA20" s="154"/>
      <c r="EB20" s="154"/>
      <c r="EC20" s="154"/>
      <c r="ED20" s="154"/>
      <c r="EE20" s="154"/>
      <c r="EF20" s="154"/>
      <c r="EG20" s="154"/>
      <c r="EH20" s="154"/>
      <c r="EI20" s="154"/>
      <c r="EJ20" s="154"/>
      <c r="EK20" s="154"/>
      <c r="EL20" s="154"/>
      <c r="EM20" s="154"/>
      <c r="EN20" s="154"/>
      <c r="EO20" s="154"/>
      <c r="EP20" s="154"/>
      <c r="EQ20" s="154"/>
      <c r="ER20" s="154"/>
      <c r="ES20" s="154"/>
      <c r="ET20" s="154"/>
      <c r="EU20" s="154"/>
      <c r="EV20" s="154"/>
      <c r="EW20" s="154"/>
      <c r="EX20" s="154"/>
      <c r="EY20" s="154"/>
      <c r="EZ20" s="154"/>
      <c r="FA20" s="154"/>
      <c r="FB20" s="154"/>
      <c r="FC20" s="154"/>
      <c r="FD20" s="154"/>
      <c r="FE20" s="154"/>
      <c r="FF20" s="154"/>
      <c r="FG20" s="154"/>
      <c r="FH20" s="154"/>
      <c r="FI20" s="154"/>
      <c r="FJ20" s="154"/>
      <c r="FK20" s="154"/>
      <c r="FL20" s="154"/>
      <c r="FM20" s="154"/>
      <c r="FN20" s="154"/>
      <c r="FO20" s="154"/>
      <c r="FP20" s="154"/>
      <c r="FQ20" s="154"/>
      <c r="FR20" s="154"/>
      <c r="FS20" s="154"/>
      <c r="FT20" s="154"/>
      <c r="FU20" s="154"/>
      <c r="FV20" s="154"/>
      <c r="FW20" s="154"/>
      <c r="FX20" s="154"/>
      <c r="FY20" s="154"/>
      <c r="FZ20" s="154"/>
      <c r="GA20" s="154"/>
      <c r="GB20" s="154"/>
      <c r="GC20" s="154"/>
      <c r="GD20" s="154"/>
      <c r="GE20" s="154"/>
      <c r="GF20" s="154"/>
      <c r="GG20" s="154"/>
      <c r="GH20" s="154"/>
      <c r="GI20" s="154"/>
      <c r="GJ20" s="154"/>
      <c r="GK20" s="154"/>
      <c r="GL20" s="154"/>
      <c r="GM20" s="154"/>
      <c r="GN20" s="154"/>
      <c r="GO20" s="154"/>
      <c r="GP20" s="154"/>
      <c r="GQ20" s="154"/>
      <c r="GR20" s="154"/>
      <c r="GS20" s="154"/>
      <c r="GT20" s="154"/>
      <c r="GU20" s="154"/>
      <c r="GV20" s="154"/>
      <c r="GW20" s="154"/>
      <c r="GX20" s="154"/>
      <c r="GY20" s="154"/>
      <c r="GZ20" s="154"/>
      <c r="HA20" s="154"/>
      <c r="HB20" s="154"/>
      <c r="HC20" s="154"/>
      <c r="HD20" s="154"/>
      <c r="HE20" s="154"/>
      <c r="HF20" s="154"/>
      <c r="HG20" s="154"/>
      <c r="HH20" s="154"/>
      <c r="HI20" s="154"/>
      <c r="HJ20" s="154"/>
      <c r="HK20" s="154"/>
      <c r="HL20" s="154"/>
      <c r="HM20" s="154"/>
      <c r="HN20" s="154"/>
      <c r="HO20" s="154"/>
      <c r="HP20" s="154"/>
      <c r="HQ20" s="154"/>
      <c r="HR20" s="154"/>
      <c r="HS20" s="154"/>
      <c r="HT20" s="154"/>
      <c r="HU20" s="154"/>
      <c r="HV20" s="154"/>
      <c r="HW20" s="154"/>
      <c r="HX20" s="154"/>
      <c r="HY20" s="154"/>
      <c r="HZ20" s="154"/>
      <c r="IA20" s="154"/>
      <c r="IB20" s="154"/>
      <c r="IC20" s="154"/>
      <c r="ID20" s="154"/>
      <c r="IE20" s="154"/>
      <c r="IF20" s="154"/>
      <c r="IG20" s="154"/>
      <c r="IH20" s="154"/>
    </row>
    <row r="21" spans="2:244" s="128" customFormat="1" ht="30" customHeight="1">
      <c r="B21" s="148" t="e">
        <f>RESUMO_Preços!#REF!</f>
        <v>#REF!</v>
      </c>
      <c r="C21" s="149" t="e">
        <f>RESUMO_Preços!#REF!</f>
        <v>#REF!</v>
      </c>
      <c r="D21" s="150">
        <f>5186*(1+3.8/100)*(1+3.79/100)</f>
        <v>5587.0862772</v>
      </c>
      <c r="E21" s="150">
        <f>4670.28*(1+3.79/100)</f>
        <v>4847.2836120000002</v>
      </c>
      <c r="F21" s="150">
        <f>5349.73*(1+3.8/100)*(1+3.79/100)</f>
        <v>5763.4791881459996</v>
      </c>
      <c r="G21" s="153">
        <f>((2131.59+2131.59*61.1/100)*(1+24.41/100)+86045.84/109)</f>
        <v>5061.6401888557903</v>
      </c>
      <c r="H21" s="151"/>
      <c r="I21" s="180">
        <v>7237.51</v>
      </c>
      <c r="J21" s="151"/>
      <c r="K21" s="151"/>
      <c r="L21" s="180">
        <v>5182.79</v>
      </c>
      <c r="M21" s="180">
        <f>4701.29*(1+28.99/100)</f>
        <v>6064.1939709999997</v>
      </c>
      <c r="N21" s="180">
        <v>8502.73</v>
      </c>
      <c r="O21" s="180">
        <v>7822.22</v>
      </c>
      <c r="P21" s="180">
        <v>9065.0300000000007</v>
      </c>
      <c r="Q21" s="184">
        <f t="shared" si="1"/>
        <v>6513.3963237201797</v>
      </c>
      <c r="R21" s="185">
        <f t="shared" si="2"/>
        <v>5913.8365795729997</v>
      </c>
      <c r="S21" s="185">
        <f t="shared" si="3"/>
        <v>5913.8365795729997</v>
      </c>
      <c r="T21" s="187" t="e">
        <f t="shared" si="4"/>
        <v>#REF!</v>
      </c>
      <c r="U21" s="185">
        <f t="shared" si="5"/>
        <v>5613.2982110336297</v>
      </c>
      <c r="V21" s="187" t="e">
        <f t="shared" si="6"/>
        <v>#REF!</v>
      </c>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c r="DE21" s="154"/>
      <c r="DF21" s="154"/>
      <c r="DG21" s="154"/>
      <c r="DH21" s="154"/>
      <c r="DI21" s="154"/>
      <c r="DJ21" s="154"/>
      <c r="DK21" s="154"/>
      <c r="DL21" s="154"/>
      <c r="DM21" s="154"/>
      <c r="DN21" s="154"/>
      <c r="DO21" s="154"/>
      <c r="DP21" s="154"/>
      <c r="DQ21" s="154"/>
      <c r="DR21" s="154"/>
      <c r="DS21" s="154"/>
      <c r="DT21" s="154"/>
      <c r="DU21" s="154"/>
      <c r="DV21" s="154"/>
      <c r="DW21" s="154"/>
      <c r="DX21" s="154"/>
      <c r="DY21" s="154"/>
      <c r="DZ21" s="154"/>
      <c r="EA21" s="154"/>
      <c r="EB21" s="154"/>
      <c r="EC21" s="154"/>
      <c r="ED21" s="154"/>
      <c r="EE21" s="154"/>
      <c r="EF21" s="154"/>
      <c r="EG21" s="154"/>
      <c r="EH21" s="154"/>
      <c r="EI21" s="154"/>
      <c r="EJ21" s="154"/>
      <c r="EK21" s="154"/>
      <c r="EL21" s="154"/>
      <c r="EM21" s="154"/>
      <c r="EN21" s="154"/>
      <c r="EO21" s="154"/>
      <c r="EP21" s="154"/>
      <c r="EQ21" s="154"/>
      <c r="ER21" s="154"/>
      <c r="ES21" s="154"/>
      <c r="ET21" s="154"/>
      <c r="EU21" s="154"/>
      <c r="EV21" s="154"/>
      <c r="EW21" s="154"/>
      <c r="EX21" s="154"/>
      <c r="EY21" s="154"/>
      <c r="EZ21" s="154"/>
      <c r="FA21" s="154"/>
      <c r="FB21" s="154"/>
      <c r="FC21" s="154"/>
      <c r="FD21" s="154"/>
      <c r="FE21" s="154"/>
      <c r="FF21" s="154"/>
      <c r="FG21" s="154"/>
      <c r="FH21" s="154"/>
      <c r="FI21" s="154"/>
      <c r="FJ21" s="154"/>
      <c r="FK21" s="154"/>
      <c r="FL21" s="154"/>
      <c r="FM21" s="154"/>
      <c r="FN21" s="154"/>
      <c r="FO21" s="154"/>
      <c r="FP21" s="154"/>
      <c r="FQ21" s="154"/>
      <c r="FR21" s="154"/>
      <c r="FS21" s="154"/>
      <c r="FT21" s="154"/>
      <c r="FU21" s="154"/>
      <c r="FV21" s="154"/>
      <c r="FW21" s="154"/>
      <c r="FX21" s="154"/>
      <c r="FY21" s="154"/>
      <c r="FZ21" s="154"/>
      <c r="GA21" s="154"/>
      <c r="GB21" s="154"/>
      <c r="GC21" s="154"/>
      <c r="GD21" s="154"/>
      <c r="GE21" s="154"/>
      <c r="GF21" s="154"/>
      <c r="GG21" s="154"/>
      <c r="GH21" s="154"/>
      <c r="GI21" s="154"/>
      <c r="GJ21" s="154"/>
      <c r="GK21" s="154"/>
      <c r="GL21" s="154"/>
      <c r="GM21" s="154"/>
      <c r="GN21" s="154"/>
      <c r="GO21" s="154"/>
      <c r="GP21" s="154"/>
      <c r="GQ21" s="154"/>
      <c r="GR21" s="154"/>
      <c r="GS21" s="154"/>
      <c r="GT21" s="154"/>
      <c r="GU21" s="154"/>
      <c r="GV21" s="154"/>
      <c r="GW21" s="154"/>
      <c r="GX21" s="154"/>
      <c r="GY21" s="154"/>
      <c r="GZ21" s="154"/>
      <c r="HA21" s="154"/>
      <c r="HB21" s="154"/>
      <c r="HC21" s="154"/>
      <c r="HD21" s="154"/>
      <c r="HE21" s="154"/>
      <c r="HF21" s="154"/>
      <c r="HG21" s="154"/>
      <c r="HH21" s="154"/>
      <c r="HI21" s="154"/>
      <c r="HJ21" s="154"/>
      <c r="HK21" s="154"/>
      <c r="HL21" s="154"/>
      <c r="HM21" s="154"/>
      <c r="HN21" s="154"/>
      <c r="HO21" s="154"/>
      <c r="HP21" s="154"/>
      <c r="HQ21" s="154"/>
      <c r="HR21" s="154"/>
      <c r="HS21" s="154"/>
      <c r="HT21" s="154"/>
      <c r="HU21" s="154"/>
      <c r="HV21" s="154"/>
      <c r="HW21" s="154"/>
      <c r="HX21" s="154"/>
      <c r="HY21" s="154"/>
      <c r="HZ21" s="154"/>
      <c r="IA21" s="154"/>
      <c r="IB21" s="154"/>
      <c r="IC21" s="154"/>
      <c r="ID21" s="154"/>
      <c r="IE21" s="154"/>
      <c r="IF21" s="154"/>
      <c r="IG21" s="154"/>
      <c r="IH21" s="154"/>
    </row>
    <row r="22" spans="2:244" s="128" customFormat="1" ht="30" customHeight="1">
      <c r="B22" s="148" t="e">
        <f>RESUMO_Preços!#REF!</f>
        <v>#REF!</v>
      </c>
      <c r="C22" s="149" t="e">
        <f>RESUMO_Preços!#REF!</f>
        <v>#REF!</v>
      </c>
      <c r="D22" s="150">
        <f>5383.7*(1+3.8/100)*(1+3.79/100)</f>
        <v>5800.07643474</v>
      </c>
      <c r="E22" s="150">
        <f>5826.82*(1+3.79/100)</f>
        <v>6047.6564779999999</v>
      </c>
      <c r="F22" s="150">
        <f>4727.95*(1+3.8/100)*(1+3.79/100)</f>
        <v>5093.6105985900003</v>
      </c>
      <c r="G22" s="153">
        <f>((2180.52+2180.52*61.1/100)*(1+24.41/100)+86045.84/109)</f>
        <v>5159.7079015987902</v>
      </c>
      <c r="H22" s="151"/>
      <c r="I22" s="180">
        <v>8024.92</v>
      </c>
      <c r="J22" s="151"/>
      <c r="K22" s="180">
        <v>6453.24</v>
      </c>
      <c r="L22" s="180">
        <v>6175.92</v>
      </c>
      <c r="M22" s="180">
        <f>4774.48*(1+28.99/100)</f>
        <v>6158.6017519999996</v>
      </c>
      <c r="N22" s="180">
        <v>8875.1</v>
      </c>
      <c r="O22" s="180">
        <v>8092.62</v>
      </c>
      <c r="P22" s="180">
        <v>9480.41</v>
      </c>
      <c r="Q22" s="184">
        <f t="shared" si="1"/>
        <v>6851.0784695389802</v>
      </c>
      <c r="R22" s="185">
        <f t="shared" si="2"/>
        <v>6175.92</v>
      </c>
      <c r="S22" s="185">
        <f t="shared" si="3"/>
        <v>6175.92</v>
      </c>
      <c r="T22" s="187" t="e">
        <f t="shared" si="4"/>
        <v>#REF!</v>
      </c>
      <c r="U22" s="185">
        <f t="shared" si="5"/>
        <v>6107.8759161326798</v>
      </c>
      <c r="V22" s="187" t="e">
        <f t="shared" si="6"/>
        <v>#REF!</v>
      </c>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c r="DH22" s="154"/>
      <c r="DI22" s="154"/>
      <c r="DJ22" s="154"/>
      <c r="DK22" s="154"/>
      <c r="DL22" s="154"/>
      <c r="DM22" s="154"/>
      <c r="DN22" s="154"/>
      <c r="DO22" s="154"/>
      <c r="DP22" s="154"/>
      <c r="DQ22" s="154"/>
      <c r="DR22" s="154"/>
      <c r="DS22" s="154"/>
      <c r="DT22" s="154"/>
      <c r="DU22" s="154"/>
      <c r="DV22" s="154"/>
      <c r="DW22" s="154"/>
      <c r="DX22" s="154"/>
      <c r="DY22" s="154"/>
      <c r="DZ22" s="154"/>
      <c r="EA22" s="154"/>
      <c r="EB22" s="154"/>
      <c r="EC22" s="154"/>
      <c r="ED22" s="154"/>
      <c r="EE22" s="154"/>
      <c r="EF22" s="154"/>
      <c r="EG22" s="154"/>
      <c r="EH22" s="154"/>
      <c r="EI22" s="154"/>
      <c r="EJ22" s="154"/>
      <c r="EK22" s="154"/>
      <c r="EL22" s="154"/>
      <c r="EM22" s="154"/>
      <c r="EN22" s="154"/>
      <c r="EO22" s="154"/>
      <c r="EP22" s="154"/>
      <c r="EQ22" s="154"/>
      <c r="ER22" s="154"/>
      <c r="ES22" s="154"/>
      <c r="ET22" s="154"/>
      <c r="EU22" s="154"/>
      <c r="EV22" s="154"/>
      <c r="EW22" s="154"/>
      <c r="EX22" s="154"/>
      <c r="EY22" s="154"/>
      <c r="EZ22" s="154"/>
      <c r="FA22" s="154"/>
      <c r="FB22" s="154"/>
      <c r="FC22" s="154"/>
      <c r="FD22" s="154"/>
      <c r="FE22" s="154"/>
      <c r="FF22" s="154"/>
      <c r="FG22" s="154"/>
      <c r="FH22" s="154"/>
      <c r="FI22" s="154"/>
      <c r="FJ22" s="154"/>
      <c r="FK22" s="154"/>
      <c r="FL22" s="154"/>
      <c r="FM22" s="154"/>
      <c r="FN22" s="154"/>
      <c r="FO22" s="154"/>
      <c r="FP22" s="154"/>
      <c r="FQ22" s="154"/>
      <c r="FR22" s="154"/>
      <c r="FS22" s="154"/>
      <c r="FT22" s="154"/>
      <c r="FU22" s="154"/>
      <c r="FV22" s="154"/>
      <c r="FW22" s="154"/>
      <c r="FX22" s="154"/>
      <c r="FY22" s="154"/>
      <c r="FZ22" s="154"/>
      <c r="GA22" s="154"/>
      <c r="GB22" s="154"/>
      <c r="GC22" s="154"/>
      <c r="GD22" s="154"/>
      <c r="GE22" s="154"/>
      <c r="GF22" s="154"/>
      <c r="GG22" s="154"/>
      <c r="GH22" s="154"/>
      <c r="GI22" s="154"/>
      <c r="GJ22" s="154"/>
      <c r="GK22" s="154"/>
      <c r="GL22" s="154"/>
      <c r="GM22" s="154"/>
      <c r="GN22" s="154"/>
      <c r="GO22" s="154"/>
      <c r="GP22" s="154"/>
      <c r="GQ22" s="154"/>
      <c r="GR22" s="154"/>
      <c r="GS22" s="154"/>
      <c r="GT22" s="154"/>
      <c r="GU22" s="154"/>
      <c r="GV22" s="154"/>
      <c r="GW22" s="154"/>
      <c r="GX22" s="154"/>
      <c r="GY22" s="154"/>
      <c r="GZ22" s="154"/>
      <c r="HA22" s="154"/>
      <c r="HB22" s="154"/>
      <c r="HC22" s="154"/>
      <c r="HD22" s="154"/>
      <c r="HE22" s="154"/>
      <c r="HF22" s="154"/>
      <c r="HG22" s="154"/>
      <c r="HH22" s="154"/>
      <c r="HI22" s="154"/>
      <c r="HJ22" s="154"/>
      <c r="HK22" s="154"/>
      <c r="HL22" s="154"/>
      <c r="HM22" s="154"/>
      <c r="HN22" s="154"/>
      <c r="HO22" s="154"/>
      <c r="HP22" s="154"/>
      <c r="HQ22" s="154"/>
      <c r="HR22" s="154"/>
      <c r="HS22" s="154"/>
      <c r="HT22" s="154"/>
      <c r="HU22" s="154"/>
      <c r="HV22" s="154"/>
      <c r="HW22" s="154"/>
      <c r="HX22" s="154"/>
      <c r="HY22" s="154"/>
      <c r="HZ22" s="154"/>
      <c r="IA22" s="154"/>
      <c r="IB22" s="154"/>
      <c r="IC22" s="154"/>
      <c r="ID22" s="154"/>
      <c r="IE22" s="154"/>
      <c r="IF22" s="154"/>
      <c r="IG22" s="154"/>
      <c r="IH22" s="154"/>
    </row>
    <row r="23" spans="2:244" s="128" customFormat="1" ht="30" customHeight="1">
      <c r="B23" s="152" t="e">
        <f>RESUMO_Preços!#REF!</f>
        <v>#REF!</v>
      </c>
      <c r="C23" s="149" t="e">
        <f>RESUMO_Preços!#REF!</f>
        <v>#REF!</v>
      </c>
      <c r="D23" s="150">
        <f>4401.8*(1+3.8/100)*(1+3.79/100)</f>
        <v>4742.2360923599999</v>
      </c>
      <c r="E23" s="153">
        <f>5026.97*(1+3.79/100)</f>
        <v>5217.4921629999999</v>
      </c>
      <c r="F23" s="150">
        <f>5997.72*(1+3.8/100)*(1+3.79/100)</f>
        <v>6461.5848643440004</v>
      </c>
      <c r="G23" s="151"/>
      <c r="H23" s="151"/>
      <c r="I23" s="180">
        <v>6366.77</v>
      </c>
      <c r="J23" s="151"/>
      <c r="K23" s="151"/>
      <c r="L23" s="180">
        <v>6021.93</v>
      </c>
      <c r="M23" s="180">
        <f>5672.48*(1+28.99/100)</f>
        <v>7316.9319519999999</v>
      </c>
      <c r="N23" s="180">
        <v>8395.01</v>
      </c>
      <c r="O23" s="180">
        <v>7712.54</v>
      </c>
      <c r="P23" s="180">
        <v>8952.9</v>
      </c>
      <c r="Q23" s="184">
        <f t="shared" si="1"/>
        <v>6798.5994524115604</v>
      </c>
      <c r="R23" s="185">
        <f t="shared" si="2"/>
        <v>6461.5848643440004</v>
      </c>
      <c r="S23" s="185">
        <f t="shared" si="3"/>
        <v>6461.5848643440004</v>
      </c>
      <c r="T23" s="187" t="e">
        <f t="shared" si="4"/>
        <v>#REF!</v>
      </c>
      <c r="U23" s="185">
        <f t="shared" si="5"/>
        <v>5762.0026239407998</v>
      </c>
      <c r="V23" s="187" t="e">
        <f t="shared" si="6"/>
        <v>#REF!</v>
      </c>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c r="FC23" s="154"/>
      <c r="FD23" s="154"/>
      <c r="FE23" s="154"/>
      <c r="FF23" s="154"/>
      <c r="FG23" s="154"/>
      <c r="FH23" s="154"/>
      <c r="FI23" s="154"/>
      <c r="FJ23" s="154"/>
      <c r="FK23" s="154"/>
      <c r="FL23" s="154"/>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c r="HE23" s="154"/>
      <c r="HF23" s="154"/>
      <c r="HG23" s="154"/>
      <c r="HH23" s="154"/>
      <c r="HI23" s="154"/>
      <c r="HJ23" s="154"/>
      <c r="HK23" s="154"/>
      <c r="HL23" s="154"/>
      <c r="HM23" s="154"/>
      <c r="HN23" s="154"/>
      <c r="HO23" s="154"/>
      <c r="HP23" s="154"/>
      <c r="HQ23" s="154"/>
      <c r="HR23" s="154"/>
      <c r="HS23" s="154"/>
      <c r="HT23" s="154"/>
      <c r="HU23" s="154"/>
      <c r="HV23" s="154"/>
      <c r="HW23" s="154"/>
      <c r="HX23" s="154"/>
      <c r="HY23" s="154"/>
      <c r="HZ23" s="154"/>
      <c r="IA23" s="154"/>
      <c r="IB23" s="154"/>
      <c r="IC23" s="154"/>
      <c r="ID23" s="154"/>
      <c r="IE23" s="154"/>
      <c r="IF23" s="154"/>
      <c r="IG23" s="154"/>
      <c r="IH23" s="154"/>
    </row>
    <row r="24" spans="2:244" s="128" customFormat="1" ht="30" customHeight="1">
      <c r="B24" s="148" t="e">
        <f>RESUMO_Preços!#REF!</f>
        <v>#REF!</v>
      </c>
      <c r="C24" s="149" t="e">
        <f>RESUMO_Preços!#REF!</f>
        <v>#REF!</v>
      </c>
      <c r="D24" s="150">
        <f>3191.4*(1+3.8/100)*(1+3.79/100)</f>
        <v>3438.22351428</v>
      </c>
      <c r="E24" s="151"/>
      <c r="F24" s="151"/>
      <c r="G24" s="153">
        <f>((1630.98+1630.98*61.1/100)*(1+24.41/100)+86045.84/109)</f>
        <v>4058.2950493447902</v>
      </c>
      <c r="H24" s="151"/>
      <c r="I24" s="151"/>
      <c r="J24" s="151"/>
      <c r="K24" s="151"/>
      <c r="L24" s="151"/>
      <c r="M24" s="180">
        <f>3532.76*(1+28.99/100)</f>
        <v>4556.9071240000003</v>
      </c>
      <c r="N24" s="180">
        <v>5631.37</v>
      </c>
      <c r="O24" s="180">
        <v>5829.98</v>
      </c>
      <c r="P24" s="180">
        <v>5798.95</v>
      </c>
      <c r="Q24" s="184">
        <f t="shared" si="1"/>
        <v>4885.6209479374602</v>
      </c>
      <c r="R24" s="185">
        <f t="shared" si="2"/>
        <v>5094.1385620000001</v>
      </c>
      <c r="S24" s="185">
        <f t="shared" si="3"/>
        <v>4885.6209479374602</v>
      </c>
      <c r="T24" s="186" t="e">
        <f t="shared" si="4"/>
        <v>#REF!</v>
      </c>
      <c r="U24" s="185">
        <f t="shared" si="5"/>
        <v>3748.2592818123899</v>
      </c>
      <c r="V24" s="187" t="e">
        <f t="shared" si="6"/>
        <v>#REF!</v>
      </c>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c r="BP24" s="154"/>
      <c r="BQ24" s="154"/>
      <c r="BR24" s="154"/>
      <c r="BS24" s="154"/>
      <c r="BT24" s="154"/>
      <c r="BU24" s="154"/>
      <c r="BV24" s="154"/>
      <c r="BW24" s="154"/>
      <c r="BX24" s="154"/>
      <c r="BY24" s="154"/>
      <c r="BZ24" s="154"/>
      <c r="CA24" s="154"/>
      <c r="CB24" s="154"/>
      <c r="CC24" s="154"/>
      <c r="CD24" s="154"/>
      <c r="CE24" s="154"/>
      <c r="CF24" s="154"/>
      <c r="CG24" s="154"/>
      <c r="CH24" s="154"/>
      <c r="CI24" s="154"/>
      <c r="CJ24" s="154"/>
      <c r="CK24" s="154"/>
      <c r="CL24" s="154"/>
      <c r="CM24" s="154"/>
      <c r="CN24" s="154"/>
      <c r="CO24" s="154"/>
      <c r="CP24" s="154"/>
      <c r="CQ24" s="154"/>
      <c r="CR24" s="154"/>
      <c r="CS24" s="154"/>
      <c r="CT24" s="154"/>
      <c r="CU24" s="154"/>
      <c r="CV24" s="154"/>
      <c r="CW24" s="154"/>
      <c r="CX24" s="154"/>
      <c r="CY24" s="154"/>
      <c r="CZ24" s="154"/>
      <c r="DA24" s="154"/>
      <c r="DB24" s="154"/>
      <c r="DC24" s="154"/>
      <c r="DD24" s="154"/>
      <c r="DE24" s="154"/>
      <c r="DF24" s="154"/>
      <c r="DG24" s="154"/>
      <c r="DH24" s="154"/>
      <c r="DI24" s="154"/>
      <c r="DJ24" s="154"/>
      <c r="DK24" s="154"/>
      <c r="DL24" s="154"/>
      <c r="DM24" s="154"/>
      <c r="DN24" s="154"/>
      <c r="DO24" s="154"/>
      <c r="DP24" s="154"/>
      <c r="DQ24" s="154"/>
      <c r="DR24" s="154"/>
      <c r="DS24" s="154"/>
      <c r="DT24" s="154"/>
      <c r="DU24" s="154"/>
      <c r="DV24" s="154"/>
      <c r="DW24" s="154"/>
      <c r="DX24" s="154"/>
      <c r="DY24" s="154"/>
      <c r="DZ24" s="154"/>
      <c r="EA24" s="154"/>
      <c r="EB24" s="154"/>
      <c r="EC24" s="154"/>
      <c r="ED24" s="154"/>
      <c r="EE24" s="154"/>
      <c r="EF24" s="154"/>
      <c r="EG24" s="154"/>
      <c r="EH24" s="154"/>
      <c r="EI24" s="154"/>
      <c r="EJ24" s="154"/>
      <c r="EK24" s="154"/>
      <c r="EL24" s="154"/>
      <c r="EM24" s="154"/>
      <c r="EN24" s="154"/>
      <c r="EO24" s="154"/>
      <c r="EP24" s="154"/>
      <c r="EQ24" s="154"/>
      <c r="ER24" s="154"/>
      <c r="ES24" s="154"/>
      <c r="ET24" s="154"/>
      <c r="EU24" s="154"/>
      <c r="EV24" s="154"/>
      <c r="EW24" s="154"/>
      <c r="EX24" s="154"/>
      <c r="EY24" s="154"/>
      <c r="EZ24" s="154"/>
      <c r="FA24" s="154"/>
      <c r="FB24" s="154"/>
      <c r="FC24" s="154"/>
      <c r="FD24" s="154"/>
      <c r="FE24" s="154"/>
      <c r="FF24" s="154"/>
      <c r="FG24" s="154"/>
      <c r="FH24" s="154"/>
      <c r="FI24" s="154"/>
      <c r="FJ24" s="154"/>
      <c r="FK24" s="154"/>
      <c r="FL24" s="154"/>
      <c r="FM24" s="154"/>
      <c r="FN24" s="154"/>
      <c r="FO24" s="154"/>
      <c r="FP24" s="154"/>
      <c r="FQ24" s="154"/>
      <c r="FR24" s="154"/>
      <c r="FS24" s="154"/>
      <c r="FT24" s="154"/>
      <c r="FU24" s="154"/>
      <c r="FV24" s="154"/>
      <c r="FW24" s="154"/>
      <c r="FX24" s="154"/>
      <c r="FY24" s="154"/>
      <c r="FZ24" s="154"/>
      <c r="GA24" s="154"/>
      <c r="GB24" s="154"/>
      <c r="GC24" s="154"/>
      <c r="GD24" s="154"/>
      <c r="GE24" s="154"/>
      <c r="GF24" s="154"/>
      <c r="GG24" s="154"/>
      <c r="GH24" s="154"/>
      <c r="GI24" s="154"/>
      <c r="GJ24" s="154"/>
      <c r="GK24" s="154"/>
      <c r="GL24" s="154"/>
      <c r="GM24" s="154"/>
      <c r="GN24" s="154"/>
      <c r="GO24" s="154"/>
      <c r="GP24" s="154"/>
      <c r="GQ24" s="154"/>
      <c r="GR24" s="154"/>
      <c r="GS24" s="154"/>
      <c r="GT24" s="154"/>
      <c r="GU24" s="154"/>
      <c r="GV24" s="154"/>
      <c r="GW24" s="154"/>
      <c r="GX24" s="154"/>
      <c r="GY24" s="154"/>
      <c r="GZ24" s="154"/>
      <c r="HA24" s="154"/>
      <c r="HB24" s="154"/>
      <c r="HC24" s="154"/>
      <c r="HD24" s="154"/>
      <c r="HE24" s="154"/>
      <c r="HF24" s="154"/>
      <c r="HG24" s="154"/>
      <c r="HH24" s="154"/>
      <c r="HI24" s="154"/>
      <c r="HJ24" s="154"/>
      <c r="HK24" s="154"/>
      <c r="HL24" s="154"/>
      <c r="HM24" s="154"/>
      <c r="HN24" s="154"/>
      <c r="HO24" s="154"/>
      <c r="HP24" s="154"/>
      <c r="HQ24" s="154"/>
      <c r="HR24" s="154"/>
      <c r="HS24" s="154"/>
      <c r="HT24" s="154"/>
      <c r="HU24" s="154"/>
      <c r="HV24" s="154"/>
      <c r="HW24" s="154"/>
      <c r="HX24" s="154"/>
      <c r="HY24" s="154"/>
      <c r="HZ24" s="154"/>
      <c r="IA24" s="154"/>
      <c r="IB24" s="154"/>
      <c r="IC24" s="154"/>
      <c r="ID24" s="154"/>
      <c r="IE24" s="154"/>
      <c r="IF24" s="154"/>
      <c r="IG24" s="154"/>
      <c r="IH24" s="154"/>
    </row>
    <row r="25" spans="2:244" s="128" customFormat="1" ht="30" customHeight="1">
      <c r="B25" s="148" t="e">
        <f>RESUMO_Preços!#REF!</f>
        <v>#REF!</v>
      </c>
      <c r="C25" s="149" t="e">
        <f>RESUMO_Preços!#REF!</f>
        <v>#REF!</v>
      </c>
      <c r="D25" s="150">
        <f>3191.4*(1+3.8/100)*(1+3.79/100)</f>
        <v>3438.22351428</v>
      </c>
      <c r="E25" s="151"/>
      <c r="F25" s="151"/>
      <c r="G25" s="153">
        <f>((1630.98+1630.98*61.1/100)*(1+24.41/100)+86045.84/109)</f>
        <v>4058.2950493447902</v>
      </c>
      <c r="H25" s="151"/>
      <c r="I25" s="180">
        <v>5243.58</v>
      </c>
      <c r="J25" s="151"/>
      <c r="K25" s="180">
        <v>4185.54</v>
      </c>
      <c r="L25" s="180">
        <v>3545.69</v>
      </c>
      <c r="M25" s="180">
        <f>3532.76*(1+28.99/100)</f>
        <v>4556.9071240000003</v>
      </c>
      <c r="N25" s="180">
        <v>5631.37</v>
      </c>
      <c r="O25" s="180">
        <v>5829.98</v>
      </c>
      <c r="P25" s="180">
        <v>5798.95</v>
      </c>
      <c r="Q25" s="184">
        <f t="shared" si="1"/>
        <v>4698.7261875138602</v>
      </c>
      <c r="R25" s="185">
        <f t="shared" si="2"/>
        <v>4556.9071240000003</v>
      </c>
      <c r="S25" s="185">
        <f t="shared" si="3"/>
        <v>4556.9071240000003</v>
      </c>
      <c r="T25" s="186" t="e">
        <f t="shared" si="4"/>
        <v>#REF!</v>
      </c>
      <c r="U25" s="185">
        <f t="shared" si="5"/>
        <v>4094.2657127249599</v>
      </c>
      <c r="V25" s="187" t="e">
        <f t="shared" si="6"/>
        <v>#REF!</v>
      </c>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54"/>
      <c r="CA25" s="154"/>
      <c r="CB25" s="154"/>
      <c r="CC25" s="154"/>
      <c r="CD25" s="154"/>
      <c r="CE25" s="154"/>
      <c r="CF25" s="154"/>
      <c r="CG25" s="154"/>
      <c r="CH25" s="154"/>
      <c r="CI25" s="154"/>
      <c r="CJ25" s="154"/>
      <c r="CK25" s="154"/>
      <c r="CL25" s="154"/>
      <c r="CM25" s="154"/>
      <c r="CN25" s="154"/>
      <c r="CO25" s="154"/>
      <c r="CP25" s="154"/>
      <c r="CQ25" s="154"/>
      <c r="CR25" s="154"/>
      <c r="CS25" s="154"/>
      <c r="CT25" s="154"/>
      <c r="CU25" s="154"/>
      <c r="CV25" s="154"/>
      <c r="CW25" s="154"/>
      <c r="CX25" s="154"/>
      <c r="CY25" s="154"/>
      <c r="CZ25" s="154"/>
      <c r="DA25" s="154"/>
      <c r="DB25" s="154"/>
      <c r="DC25" s="154"/>
      <c r="DD25" s="154"/>
      <c r="DE25" s="154"/>
      <c r="DF25" s="154"/>
      <c r="DG25" s="154"/>
      <c r="DH25" s="154"/>
      <c r="DI25" s="154"/>
      <c r="DJ25" s="154"/>
      <c r="DK25" s="154"/>
      <c r="DL25" s="154"/>
      <c r="DM25" s="154"/>
      <c r="DN25" s="154"/>
      <c r="DO25" s="154"/>
      <c r="DP25" s="154"/>
      <c r="DQ25" s="154"/>
      <c r="DR25" s="154"/>
      <c r="DS25" s="154"/>
      <c r="DT25" s="154"/>
      <c r="DU25" s="154"/>
      <c r="DV25" s="154"/>
      <c r="DW25" s="154"/>
      <c r="DX25" s="154"/>
      <c r="DY25" s="154"/>
      <c r="DZ25" s="154"/>
      <c r="EA25" s="154"/>
      <c r="EB25" s="154"/>
      <c r="EC25" s="154"/>
      <c r="ED25" s="154"/>
      <c r="EE25" s="154"/>
      <c r="EF25" s="154"/>
      <c r="EG25" s="154"/>
      <c r="EH25" s="154"/>
      <c r="EI25" s="154"/>
      <c r="EJ25" s="154"/>
      <c r="EK25" s="154"/>
      <c r="EL25" s="154"/>
      <c r="EM25" s="154"/>
      <c r="EN25" s="154"/>
      <c r="EO25" s="154"/>
      <c r="EP25" s="154"/>
      <c r="EQ25" s="154"/>
      <c r="ER25" s="154"/>
      <c r="ES25" s="154"/>
      <c r="ET25" s="154"/>
      <c r="EU25" s="154"/>
      <c r="EV25" s="154"/>
      <c r="EW25" s="154"/>
      <c r="EX25" s="154"/>
      <c r="EY25" s="154"/>
      <c r="EZ25" s="154"/>
      <c r="FA25" s="154"/>
      <c r="FB25" s="154"/>
      <c r="FC25" s="154"/>
      <c r="FD25" s="154"/>
      <c r="FE25" s="154"/>
      <c r="FF25" s="154"/>
      <c r="FG25" s="154"/>
      <c r="FH25" s="154"/>
      <c r="FI25" s="154"/>
      <c r="FJ25" s="154"/>
      <c r="FK25" s="154"/>
      <c r="FL25" s="154"/>
      <c r="FM25" s="154"/>
      <c r="FN25" s="154"/>
      <c r="FO25" s="154"/>
      <c r="FP25" s="154"/>
      <c r="FQ25" s="154"/>
      <c r="FR25" s="154"/>
      <c r="FS25" s="154"/>
      <c r="FT25" s="154"/>
      <c r="FU25" s="154"/>
      <c r="FV25" s="154"/>
      <c r="FW25" s="154"/>
      <c r="FX25" s="154"/>
      <c r="FY25" s="154"/>
      <c r="FZ25" s="154"/>
      <c r="GA25" s="154"/>
      <c r="GB25" s="154"/>
      <c r="GC25" s="154"/>
      <c r="GD25" s="154"/>
      <c r="GE25" s="154"/>
      <c r="GF25" s="154"/>
      <c r="GG25" s="154"/>
      <c r="GH25" s="154"/>
      <c r="GI25" s="154"/>
      <c r="GJ25" s="154"/>
      <c r="GK25" s="154"/>
      <c r="GL25" s="154"/>
      <c r="GM25" s="154"/>
      <c r="GN25" s="154"/>
      <c r="GO25" s="154"/>
      <c r="GP25" s="154"/>
      <c r="GQ25" s="154"/>
      <c r="GR25" s="154"/>
      <c r="GS25" s="154"/>
      <c r="GT25" s="154"/>
      <c r="GU25" s="154"/>
      <c r="GV25" s="154"/>
      <c r="GW25" s="154"/>
      <c r="GX25" s="154"/>
      <c r="GY25" s="154"/>
      <c r="GZ25" s="154"/>
      <c r="HA25" s="154"/>
      <c r="HB25" s="154"/>
      <c r="HC25" s="154"/>
      <c r="HD25" s="154"/>
      <c r="HE25" s="154"/>
      <c r="HF25" s="154"/>
      <c r="HG25" s="154"/>
      <c r="HH25" s="154"/>
      <c r="HI25" s="154"/>
      <c r="HJ25" s="154"/>
      <c r="HK25" s="154"/>
      <c r="HL25" s="154"/>
      <c r="HM25" s="154"/>
      <c r="HN25" s="154"/>
      <c r="HO25" s="154"/>
      <c r="HP25" s="154"/>
      <c r="HQ25" s="154"/>
      <c r="HR25" s="154"/>
      <c r="HS25" s="154"/>
      <c r="HT25" s="154"/>
      <c r="HU25" s="154"/>
      <c r="HV25" s="154"/>
      <c r="HW25" s="154"/>
      <c r="HX25" s="154"/>
      <c r="HY25" s="154"/>
      <c r="HZ25" s="154"/>
      <c r="IA25" s="154"/>
      <c r="IB25" s="154"/>
      <c r="IC25" s="154"/>
      <c r="ID25" s="154"/>
      <c r="IE25" s="154"/>
      <c r="IF25" s="154"/>
      <c r="IG25" s="154"/>
      <c r="IH25" s="154"/>
    </row>
    <row r="26" spans="2:244" s="128" customFormat="1" ht="33" customHeight="1">
      <c r="B26" s="148" t="e">
        <f>RESUMO_Preços!#REF!</f>
        <v>#REF!</v>
      </c>
      <c r="C26" s="149" t="e">
        <f>RESUMO_Preços!#REF!</f>
        <v>#REF!</v>
      </c>
      <c r="D26" s="150">
        <f>4441.6*(1+3.8/100)*(1+3.79/100)</f>
        <v>4785.1142323200002</v>
      </c>
      <c r="E26" s="151"/>
      <c r="F26" s="151"/>
      <c r="G26" s="151"/>
      <c r="H26" s="151"/>
      <c r="I26" s="180">
        <v>5672.61</v>
      </c>
      <c r="J26" s="180">
        <v>5353.39</v>
      </c>
      <c r="K26" s="151"/>
      <c r="L26" s="151"/>
      <c r="M26" s="180">
        <f>4383.07*(1+28.99/100)</f>
        <v>5653.7219930000001</v>
      </c>
      <c r="N26" s="180">
        <v>8068.92</v>
      </c>
      <c r="O26" s="180">
        <v>7380.49</v>
      </c>
      <c r="P26" s="180">
        <v>8613.4</v>
      </c>
      <c r="Q26" s="184">
        <f t="shared" si="1"/>
        <v>6503.94946076</v>
      </c>
      <c r="R26" s="185">
        <f t="shared" si="2"/>
        <v>5672.61</v>
      </c>
      <c r="S26" s="185">
        <f t="shared" ref="S26" si="7">SMALL(Q26:R26,1)</f>
        <v>5672.61</v>
      </c>
      <c r="T26" s="186" t="e">
        <f t="shared" ref="T26" si="8">C26-S26</f>
        <v>#REF!</v>
      </c>
      <c r="U26" s="185">
        <f t="shared" si="5"/>
        <v>5270.3714107733304</v>
      </c>
      <c r="V26" s="187" t="e">
        <f t="shared" si="6"/>
        <v>#REF!</v>
      </c>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4"/>
      <c r="BN26" s="154"/>
      <c r="BO26" s="154"/>
      <c r="BP26" s="154"/>
      <c r="BQ26" s="154"/>
      <c r="BR26" s="154"/>
      <c r="BS26" s="154"/>
      <c r="BT26" s="154"/>
      <c r="BU26" s="154"/>
      <c r="BV26" s="154"/>
      <c r="BW26" s="154"/>
      <c r="BX26" s="154"/>
      <c r="BY26" s="154"/>
      <c r="BZ26" s="154"/>
      <c r="CA26" s="154"/>
      <c r="CB26" s="154"/>
      <c r="CC26" s="154"/>
      <c r="CD26" s="154"/>
      <c r="CE26" s="154"/>
      <c r="CF26" s="154"/>
      <c r="CG26" s="154"/>
      <c r="CH26" s="154"/>
      <c r="CI26" s="154"/>
      <c r="CJ26" s="154"/>
      <c r="CK26" s="154"/>
      <c r="CL26" s="154"/>
      <c r="CM26" s="154"/>
      <c r="CN26" s="154"/>
      <c r="CO26" s="154"/>
      <c r="CP26" s="154"/>
      <c r="CQ26" s="154"/>
      <c r="CR26" s="154"/>
      <c r="CS26" s="154"/>
      <c r="CT26" s="154"/>
      <c r="CU26" s="154"/>
      <c r="CV26" s="154"/>
      <c r="CW26" s="154"/>
      <c r="CX26" s="154"/>
      <c r="CY26" s="154"/>
      <c r="CZ26" s="154"/>
      <c r="DA26" s="154"/>
      <c r="DB26" s="154"/>
      <c r="DC26" s="154"/>
      <c r="DD26" s="154"/>
      <c r="DE26" s="154"/>
      <c r="DF26" s="154"/>
      <c r="DG26" s="154"/>
      <c r="DH26" s="154"/>
      <c r="DI26" s="154"/>
      <c r="DJ26" s="154"/>
      <c r="DK26" s="154"/>
      <c r="DL26" s="154"/>
      <c r="DM26" s="154"/>
      <c r="DN26" s="154"/>
      <c r="DO26" s="154"/>
      <c r="DP26" s="154"/>
      <c r="DQ26" s="154"/>
      <c r="DR26" s="154"/>
      <c r="DS26" s="154"/>
      <c r="DT26" s="154"/>
      <c r="DU26" s="154"/>
      <c r="DV26" s="154"/>
      <c r="DW26" s="154"/>
      <c r="DX26" s="154"/>
      <c r="DY26" s="154"/>
      <c r="DZ26" s="154"/>
      <c r="EA26" s="154"/>
      <c r="EB26" s="154"/>
      <c r="EC26" s="154"/>
      <c r="ED26" s="154"/>
      <c r="EE26" s="154"/>
      <c r="EF26" s="154"/>
      <c r="EG26" s="154"/>
      <c r="EH26" s="154"/>
      <c r="EI26" s="154"/>
      <c r="EJ26" s="154"/>
      <c r="EK26" s="154"/>
      <c r="EL26" s="154"/>
      <c r="EM26" s="154"/>
      <c r="EN26" s="154"/>
      <c r="EO26" s="154"/>
      <c r="EP26" s="154"/>
      <c r="EQ26" s="154"/>
      <c r="ER26" s="154"/>
      <c r="ES26" s="154"/>
      <c r="ET26" s="154"/>
      <c r="EU26" s="154"/>
      <c r="EV26" s="154"/>
      <c r="EW26" s="154"/>
      <c r="EX26" s="154"/>
      <c r="EY26" s="154"/>
      <c r="EZ26" s="154"/>
      <c r="FA26" s="154"/>
      <c r="FB26" s="154"/>
      <c r="FC26" s="154"/>
      <c r="FD26" s="154"/>
      <c r="FE26" s="154"/>
      <c r="FF26" s="154"/>
      <c r="FG26" s="154"/>
      <c r="FH26" s="154"/>
      <c r="FI26" s="154"/>
      <c r="FJ26" s="154"/>
      <c r="FK26" s="154"/>
      <c r="FL26" s="154"/>
      <c r="FM26" s="154"/>
      <c r="FN26" s="154"/>
      <c r="FO26" s="154"/>
      <c r="FP26" s="154"/>
      <c r="FQ26" s="154"/>
      <c r="FR26" s="154"/>
      <c r="FS26" s="154"/>
      <c r="FT26" s="154"/>
      <c r="FU26" s="154"/>
      <c r="FV26" s="154"/>
      <c r="FW26" s="154"/>
      <c r="FX26" s="154"/>
      <c r="FY26" s="154"/>
      <c r="FZ26" s="154"/>
      <c r="GA26" s="154"/>
      <c r="GB26" s="154"/>
      <c r="GC26" s="154"/>
      <c r="GD26" s="154"/>
      <c r="GE26" s="154"/>
      <c r="GF26" s="154"/>
      <c r="GG26" s="154"/>
      <c r="GH26" s="154"/>
      <c r="GI26" s="154"/>
      <c r="GJ26" s="154"/>
      <c r="GK26" s="154"/>
      <c r="GL26" s="154"/>
      <c r="GM26" s="154"/>
      <c r="GN26" s="154"/>
      <c r="GO26" s="154"/>
      <c r="GP26" s="154"/>
      <c r="GQ26" s="154"/>
      <c r="GR26" s="154"/>
      <c r="GS26" s="154"/>
      <c r="GT26" s="154"/>
      <c r="GU26" s="154"/>
      <c r="GV26" s="154"/>
      <c r="GW26" s="154"/>
      <c r="GX26" s="154"/>
      <c r="GY26" s="154"/>
      <c r="GZ26" s="154"/>
      <c r="HA26" s="154"/>
      <c r="HB26" s="154"/>
      <c r="HC26" s="154"/>
      <c r="HD26" s="154"/>
      <c r="HE26" s="154"/>
      <c r="HF26" s="154"/>
      <c r="HG26" s="154"/>
      <c r="HH26" s="154"/>
      <c r="HI26" s="154"/>
      <c r="HJ26" s="154"/>
      <c r="HK26" s="154"/>
      <c r="HL26" s="154"/>
      <c r="HM26" s="154"/>
      <c r="HN26" s="154"/>
      <c r="HO26" s="154"/>
      <c r="HP26" s="154"/>
      <c r="HQ26" s="154"/>
      <c r="HR26" s="154"/>
      <c r="HS26" s="154"/>
      <c r="HT26" s="154"/>
      <c r="HU26" s="154"/>
      <c r="HV26" s="154"/>
      <c r="HW26" s="154"/>
      <c r="HX26" s="154"/>
      <c r="HY26" s="154"/>
      <c r="HZ26" s="154"/>
      <c r="IA26" s="154"/>
      <c r="IB26" s="154"/>
      <c r="IC26" s="154"/>
      <c r="ID26" s="154"/>
      <c r="IE26" s="154"/>
      <c r="IF26" s="154"/>
      <c r="IG26" s="154"/>
      <c r="IH26" s="154"/>
      <c r="II26" s="154"/>
      <c r="IJ26" s="154"/>
    </row>
    <row r="27" spans="2:244" s="128" customFormat="1">
      <c r="B27" s="154"/>
      <c r="C27" s="155"/>
      <c r="D27" s="154"/>
      <c r="E27" s="154"/>
      <c r="F27" s="154"/>
      <c r="G27" s="154"/>
      <c r="H27" s="154"/>
      <c r="I27" s="154"/>
      <c r="J27" s="154"/>
      <c r="K27" s="154"/>
      <c r="L27" s="154"/>
      <c r="M27" s="154"/>
      <c r="N27" s="154"/>
      <c r="O27" s="154"/>
      <c r="P27" s="154"/>
      <c r="Q27" s="154"/>
      <c r="R27" s="154"/>
      <c r="S27" s="154"/>
      <c r="T27" s="154"/>
      <c r="U27" s="155"/>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4"/>
      <c r="CI27" s="154"/>
      <c r="CJ27" s="154"/>
      <c r="CK27" s="154"/>
      <c r="CL27" s="154"/>
      <c r="CM27" s="154"/>
      <c r="CN27" s="154"/>
      <c r="CO27" s="154"/>
      <c r="CP27" s="154"/>
      <c r="CQ27" s="154"/>
      <c r="CR27" s="154"/>
      <c r="CS27" s="154"/>
      <c r="CT27" s="154"/>
      <c r="CU27" s="154"/>
      <c r="CV27" s="154"/>
      <c r="CW27" s="154"/>
      <c r="CX27" s="154"/>
      <c r="CY27" s="154"/>
      <c r="CZ27" s="154"/>
      <c r="DA27" s="154"/>
      <c r="DB27" s="154"/>
      <c r="DC27" s="154"/>
      <c r="DD27" s="154"/>
      <c r="DE27" s="154"/>
      <c r="DF27" s="154"/>
      <c r="DG27" s="154"/>
      <c r="DH27" s="154"/>
      <c r="DI27" s="154"/>
      <c r="DJ27" s="154"/>
      <c r="DK27" s="154"/>
      <c r="DL27" s="154"/>
      <c r="DM27" s="154"/>
      <c r="DN27" s="154"/>
      <c r="DO27" s="154"/>
      <c r="DP27" s="154"/>
      <c r="DQ27" s="154"/>
      <c r="DR27" s="154"/>
      <c r="DS27" s="154"/>
      <c r="DT27" s="154"/>
      <c r="DU27" s="154"/>
      <c r="DV27" s="154"/>
      <c r="DW27" s="154"/>
      <c r="DX27" s="154"/>
      <c r="DY27" s="154"/>
      <c r="DZ27" s="154"/>
      <c r="EA27" s="154"/>
      <c r="EB27" s="154"/>
      <c r="EC27" s="154"/>
      <c r="ED27" s="154"/>
      <c r="EE27" s="154"/>
      <c r="EF27" s="154"/>
      <c r="EG27" s="154"/>
      <c r="EH27" s="154"/>
      <c r="EI27" s="154"/>
      <c r="EJ27" s="154"/>
      <c r="EK27" s="154"/>
      <c r="EL27" s="154"/>
      <c r="EM27" s="154"/>
      <c r="EN27" s="154"/>
      <c r="EO27" s="154"/>
      <c r="EP27" s="154"/>
      <c r="EQ27" s="154"/>
      <c r="ER27" s="154"/>
      <c r="ES27" s="154"/>
      <c r="ET27" s="154"/>
      <c r="EU27" s="154"/>
      <c r="EV27" s="154"/>
      <c r="EW27" s="154"/>
      <c r="EX27" s="154"/>
      <c r="EY27" s="154"/>
      <c r="EZ27" s="154"/>
      <c r="FA27" s="154"/>
      <c r="FB27" s="154"/>
      <c r="FC27" s="154"/>
      <c r="FD27" s="154"/>
      <c r="FE27" s="154"/>
      <c r="FF27" s="154"/>
      <c r="FG27" s="154"/>
      <c r="FH27" s="154"/>
      <c r="FI27" s="154"/>
      <c r="FJ27" s="154"/>
      <c r="FK27" s="154"/>
      <c r="FL27" s="154"/>
      <c r="FM27" s="154"/>
      <c r="FN27" s="154"/>
      <c r="FO27" s="154"/>
      <c r="FP27" s="154"/>
      <c r="FQ27" s="154"/>
      <c r="FR27" s="154"/>
      <c r="FS27" s="154"/>
      <c r="FT27" s="154"/>
      <c r="FU27" s="154"/>
      <c r="FV27" s="154"/>
      <c r="FW27" s="154"/>
      <c r="FX27" s="154"/>
      <c r="FY27" s="154"/>
      <c r="FZ27" s="154"/>
      <c r="GA27" s="154"/>
      <c r="GB27" s="154"/>
      <c r="GC27" s="154"/>
      <c r="GD27" s="154"/>
      <c r="GE27" s="154"/>
      <c r="GF27" s="154"/>
      <c r="GG27" s="154"/>
      <c r="GH27" s="154"/>
      <c r="GI27" s="154"/>
      <c r="GJ27" s="154"/>
      <c r="GK27" s="154"/>
      <c r="GL27" s="154"/>
      <c r="GM27" s="154"/>
      <c r="GN27" s="154"/>
      <c r="GO27" s="154"/>
      <c r="GP27" s="154"/>
      <c r="GQ27" s="154"/>
      <c r="GR27" s="154"/>
      <c r="GS27" s="154"/>
      <c r="GT27" s="154"/>
      <c r="GU27" s="154"/>
      <c r="GV27" s="154"/>
      <c r="GW27" s="154"/>
      <c r="GX27" s="154"/>
      <c r="GY27" s="154"/>
      <c r="GZ27" s="154"/>
      <c r="HA27" s="154"/>
      <c r="HB27" s="154"/>
      <c r="HC27" s="154"/>
      <c r="HD27" s="154"/>
      <c r="HE27" s="154"/>
      <c r="HF27" s="154"/>
      <c r="HG27" s="154"/>
      <c r="HH27" s="154"/>
      <c r="HI27" s="154"/>
      <c r="HJ27" s="154"/>
      <c r="HK27" s="154"/>
      <c r="HL27" s="154"/>
      <c r="HM27" s="154"/>
      <c r="HN27" s="154"/>
      <c r="HO27" s="154"/>
      <c r="HP27" s="154"/>
      <c r="HQ27" s="154"/>
      <c r="HR27" s="154"/>
      <c r="HS27" s="154"/>
      <c r="HT27" s="154"/>
      <c r="HU27" s="154"/>
      <c r="HV27" s="154"/>
      <c r="HW27" s="154"/>
      <c r="HX27" s="154"/>
      <c r="HY27" s="154"/>
      <c r="HZ27" s="154"/>
      <c r="IA27" s="154"/>
      <c r="IB27" s="154"/>
      <c r="IC27" s="154"/>
      <c r="ID27" s="154"/>
      <c r="IE27" s="154"/>
      <c r="IF27" s="154"/>
      <c r="IG27" s="154"/>
      <c r="IH27" s="154"/>
      <c r="II27" s="154"/>
      <c r="IJ27" s="154"/>
    </row>
    <row r="28" spans="2:244" s="128" customFormat="1" ht="23.25" customHeight="1">
      <c r="B28" s="156" t="s">
        <v>184</v>
      </c>
      <c r="C28" s="157"/>
      <c r="D28" s="158"/>
      <c r="E28" s="158"/>
      <c r="F28" s="158"/>
      <c r="G28" s="158"/>
      <c r="H28" s="158"/>
      <c r="I28" s="158"/>
      <c r="J28" s="158"/>
      <c r="K28" s="158"/>
      <c r="L28" s="158"/>
      <c r="M28" s="158"/>
      <c r="N28" s="158"/>
      <c r="O28" s="158"/>
      <c r="P28" s="158"/>
      <c r="Q28" s="158"/>
      <c r="R28" s="158"/>
      <c r="S28" s="158"/>
      <c r="T28" s="158"/>
      <c r="U28" s="158"/>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4"/>
      <c r="BT28" s="154"/>
      <c r="BU28" s="154"/>
      <c r="BV28" s="154"/>
      <c r="BW28" s="154"/>
      <c r="BX28" s="154"/>
      <c r="BY28" s="154"/>
      <c r="BZ28" s="154"/>
      <c r="CA28" s="154"/>
      <c r="CB28" s="154"/>
      <c r="CC28" s="154"/>
      <c r="CD28" s="154"/>
      <c r="CE28" s="154"/>
      <c r="CF28" s="154"/>
      <c r="CG28" s="154"/>
      <c r="CH28" s="154"/>
      <c r="CI28" s="154"/>
      <c r="CJ28" s="154"/>
      <c r="CK28" s="154"/>
      <c r="CL28" s="154"/>
      <c r="CM28" s="154"/>
      <c r="CN28" s="154"/>
      <c r="CO28" s="154"/>
      <c r="CP28" s="154"/>
      <c r="CQ28" s="154"/>
      <c r="CR28" s="154"/>
      <c r="CS28" s="154"/>
      <c r="CT28" s="154"/>
      <c r="CU28" s="154"/>
      <c r="CV28" s="154"/>
      <c r="CW28" s="154"/>
      <c r="CX28" s="154"/>
      <c r="CY28" s="154"/>
      <c r="CZ28" s="154"/>
      <c r="DA28" s="154"/>
      <c r="DB28" s="154"/>
      <c r="DC28" s="154"/>
      <c r="DD28" s="154"/>
      <c r="DE28" s="154"/>
      <c r="DF28" s="154"/>
      <c r="DG28" s="154"/>
      <c r="DH28" s="154"/>
      <c r="DI28" s="154"/>
      <c r="DJ28" s="154"/>
      <c r="DK28" s="154"/>
      <c r="DL28" s="154"/>
      <c r="DM28" s="154"/>
      <c r="DN28" s="154"/>
      <c r="DO28" s="154"/>
      <c r="DP28" s="154"/>
      <c r="DQ28" s="154"/>
      <c r="DR28" s="154"/>
      <c r="DS28" s="154"/>
      <c r="DT28" s="154"/>
      <c r="DU28" s="154"/>
      <c r="DV28" s="154"/>
      <c r="DW28" s="154"/>
      <c r="DX28" s="154"/>
      <c r="DY28" s="154"/>
      <c r="DZ28" s="154"/>
      <c r="EA28" s="154"/>
      <c r="EB28" s="154"/>
      <c r="EC28" s="154"/>
      <c r="ED28" s="154"/>
      <c r="EE28" s="154"/>
      <c r="EF28" s="154"/>
      <c r="EG28" s="154"/>
      <c r="EH28" s="154"/>
      <c r="EI28" s="154"/>
      <c r="EJ28" s="154"/>
      <c r="EK28" s="154"/>
      <c r="EL28" s="154"/>
      <c r="EM28" s="154"/>
      <c r="EN28" s="154"/>
      <c r="EO28" s="154"/>
      <c r="EP28" s="154"/>
      <c r="EQ28" s="154"/>
      <c r="ER28" s="154"/>
      <c r="ES28" s="154"/>
      <c r="ET28" s="154"/>
      <c r="EU28" s="154"/>
      <c r="EV28" s="154"/>
      <c r="EW28" s="154"/>
      <c r="EX28" s="154"/>
      <c r="EY28" s="154"/>
      <c r="EZ28" s="154"/>
      <c r="FA28" s="154"/>
      <c r="FB28" s="154"/>
      <c r="FC28" s="154"/>
      <c r="FD28" s="154"/>
      <c r="FE28" s="154"/>
      <c r="FF28" s="154"/>
      <c r="FG28" s="154"/>
      <c r="FH28" s="154"/>
      <c r="FI28" s="154"/>
      <c r="FJ28" s="154"/>
      <c r="FK28" s="154"/>
      <c r="FL28" s="154"/>
      <c r="FM28" s="154"/>
      <c r="FN28" s="154"/>
      <c r="FO28" s="154"/>
      <c r="FP28" s="154"/>
      <c r="FQ28" s="154"/>
      <c r="FR28" s="154"/>
      <c r="FS28" s="154"/>
      <c r="FT28" s="154"/>
      <c r="FU28" s="154"/>
      <c r="FV28" s="154"/>
      <c r="FW28" s="154"/>
      <c r="FX28" s="154"/>
      <c r="FY28" s="154"/>
      <c r="FZ28" s="154"/>
      <c r="GA28" s="154"/>
      <c r="GB28" s="154"/>
      <c r="GC28" s="154"/>
      <c r="GD28" s="154"/>
      <c r="GE28" s="154"/>
      <c r="GF28" s="154"/>
      <c r="GG28" s="154"/>
      <c r="GH28" s="154"/>
      <c r="GI28" s="154"/>
      <c r="GJ28" s="154"/>
      <c r="GK28" s="154"/>
      <c r="GL28" s="154"/>
      <c r="GM28" s="154"/>
      <c r="GN28" s="154"/>
      <c r="GO28" s="154"/>
      <c r="GP28" s="154"/>
      <c r="GQ28" s="154"/>
      <c r="GR28" s="154"/>
      <c r="GS28" s="154"/>
      <c r="GT28" s="154"/>
      <c r="GU28" s="154"/>
      <c r="GV28" s="154"/>
      <c r="GW28" s="154"/>
      <c r="GX28" s="154"/>
      <c r="GY28" s="154"/>
      <c r="GZ28" s="154"/>
      <c r="HA28" s="154"/>
      <c r="HB28" s="154"/>
      <c r="HC28" s="154"/>
      <c r="HD28" s="154"/>
      <c r="HE28" s="154"/>
      <c r="HF28" s="154"/>
      <c r="HG28" s="154"/>
      <c r="HH28" s="154"/>
      <c r="HI28" s="154"/>
      <c r="HJ28" s="154"/>
      <c r="HK28" s="154"/>
      <c r="HL28" s="154"/>
      <c r="HM28" s="154"/>
      <c r="HN28" s="154"/>
      <c r="HO28" s="154"/>
      <c r="HP28" s="154"/>
      <c r="HQ28" s="154"/>
      <c r="HR28" s="154"/>
      <c r="HS28" s="154"/>
      <c r="HT28" s="154"/>
      <c r="HU28" s="154"/>
      <c r="HV28" s="154"/>
      <c r="HW28" s="154"/>
      <c r="HX28" s="154"/>
      <c r="HY28" s="154"/>
      <c r="HZ28" s="154"/>
      <c r="IA28" s="154"/>
      <c r="IB28" s="154"/>
      <c r="IC28" s="154"/>
      <c r="ID28" s="154"/>
      <c r="IE28" s="154"/>
      <c r="IF28" s="154"/>
      <c r="IG28" s="154"/>
      <c r="IH28" s="154"/>
      <c r="II28" s="154"/>
      <c r="IJ28" s="154"/>
    </row>
    <row r="29" spans="2:244" s="128" customFormat="1" ht="70.5" customHeight="1">
      <c r="B29" s="124">
        <v>1</v>
      </c>
      <c r="C29" s="990" t="s">
        <v>414</v>
      </c>
      <c r="D29" s="991"/>
      <c r="E29" s="991"/>
      <c r="F29" s="991"/>
      <c r="G29" s="991"/>
      <c r="H29" s="991"/>
      <c r="I29" s="991"/>
      <c r="J29" s="991"/>
      <c r="K29" s="991"/>
      <c r="L29" s="991"/>
      <c r="M29" s="991"/>
      <c r="N29" s="991"/>
      <c r="O29" s="991"/>
      <c r="P29" s="991"/>
      <c r="Q29" s="991"/>
      <c r="R29" s="991"/>
      <c r="S29" s="991"/>
      <c r="T29" s="991"/>
      <c r="U29" s="991"/>
      <c r="V29" s="992"/>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4"/>
      <c r="CI29" s="154"/>
      <c r="CJ29" s="154"/>
      <c r="CK29" s="154"/>
      <c r="CL29" s="154"/>
      <c r="CM29" s="154"/>
      <c r="CN29" s="154"/>
      <c r="CO29" s="154"/>
      <c r="CP29" s="154"/>
      <c r="CQ29" s="154"/>
      <c r="CR29" s="154"/>
      <c r="CS29" s="154"/>
      <c r="CT29" s="154"/>
      <c r="CU29" s="154"/>
      <c r="CV29" s="154"/>
      <c r="CW29" s="154"/>
      <c r="CX29" s="154"/>
      <c r="CY29" s="154"/>
      <c r="CZ29" s="154"/>
      <c r="DA29" s="154"/>
      <c r="DB29" s="154"/>
      <c r="DC29" s="154"/>
      <c r="DD29" s="154"/>
      <c r="DE29" s="154"/>
      <c r="DF29" s="154"/>
      <c r="DG29" s="154"/>
      <c r="DH29" s="154"/>
      <c r="DI29" s="154"/>
      <c r="DJ29" s="154"/>
      <c r="DK29" s="154"/>
      <c r="DL29" s="154"/>
      <c r="DM29" s="154"/>
      <c r="DN29" s="154"/>
      <c r="DO29" s="154"/>
      <c r="DP29" s="154"/>
      <c r="DQ29" s="154"/>
      <c r="DR29" s="154"/>
      <c r="DS29" s="154"/>
      <c r="DT29" s="154"/>
      <c r="DU29" s="154"/>
      <c r="DV29" s="154"/>
      <c r="DW29" s="154"/>
      <c r="DX29" s="154"/>
      <c r="DY29" s="154"/>
      <c r="DZ29" s="154"/>
      <c r="EA29" s="154"/>
      <c r="EB29" s="154"/>
      <c r="EC29" s="154"/>
      <c r="ED29" s="154"/>
      <c r="EE29" s="154"/>
      <c r="EF29" s="154"/>
      <c r="EG29" s="154"/>
      <c r="EH29" s="154"/>
      <c r="EI29" s="154"/>
      <c r="EJ29" s="154"/>
      <c r="EK29" s="154"/>
      <c r="EL29" s="154"/>
      <c r="EM29" s="154"/>
      <c r="EN29" s="154"/>
      <c r="EO29" s="154"/>
      <c r="EP29" s="154"/>
      <c r="EQ29" s="154"/>
      <c r="ER29" s="154"/>
      <c r="ES29" s="154"/>
      <c r="ET29" s="154"/>
      <c r="EU29" s="154"/>
      <c r="EV29" s="154"/>
      <c r="EW29" s="154"/>
      <c r="EX29" s="154"/>
      <c r="EY29" s="154"/>
      <c r="EZ29" s="154"/>
      <c r="FA29" s="154"/>
      <c r="FB29" s="154"/>
      <c r="FC29" s="154"/>
      <c r="FD29" s="154"/>
      <c r="FE29" s="154"/>
      <c r="FF29" s="154"/>
      <c r="FG29" s="154"/>
      <c r="FH29" s="154"/>
      <c r="FI29" s="154"/>
      <c r="FJ29" s="154"/>
      <c r="FK29" s="154"/>
      <c r="FL29" s="154"/>
      <c r="FM29" s="154"/>
      <c r="FN29" s="154"/>
      <c r="FO29" s="154"/>
      <c r="FP29" s="154"/>
      <c r="FQ29" s="154"/>
      <c r="FR29" s="154"/>
      <c r="FS29" s="154"/>
      <c r="FT29" s="154"/>
      <c r="FU29" s="154"/>
      <c r="FV29" s="154"/>
      <c r="FW29" s="154"/>
      <c r="FX29" s="154"/>
      <c r="FY29" s="154"/>
      <c r="FZ29" s="154"/>
      <c r="GA29" s="154"/>
      <c r="GB29" s="154"/>
      <c r="GC29" s="154"/>
      <c r="GD29" s="154"/>
      <c r="GE29" s="154"/>
      <c r="GF29" s="154"/>
      <c r="GG29" s="154"/>
      <c r="GH29" s="154"/>
      <c r="GI29" s="154"/>
      <c r="GJ29" s="154"/>
      <c r="GK29" s="154"/>
      <c r="GL29" s="154"/>
      <c r="GM29" s="154"/>
      <c r="GN29" s="154"/>
      <c r="GO29" s="154"/>
      <c r="GP29" s="154"/>
      <c r="GQ29" s="154"/>
      <c r="GR29" s="154"/>
      <c r="GS29" s="154"/>
      <c r="GT29" s="154"/>
      <c r="GU29" s="154"/>
      <c r="GV29" s="154"/>
      <c r="GW29" s="154"/>
      <c r="GX29" s="154"/>
      <c r="GY29" s="154"/>
      <c r="GZ29" s="154"/>
      <c r="HA29" s="154"/>
      <c r="HB29" s="154"/>
      <c r="HC29" s="154"/>
      <c r="HD29" s="154"/>
      <c r="HE29" s="154"/>
      <c r="HF29" s="154"/>
      <c r="HG29" s="154"/>
      <c r="HH29" s="154"/>
      <c r="HI29" s="154"/>
      <c r="HJ29" s="154"/>
      <c r="HK29" s="154"/>
      <c r="HL29" s="154"/>
      <c r="HM29" s="154"/>
      <c r="HN29" s="154"/>
      <c r="HO29" s="154"/>
      <c r="HP29" s="154"/>
      <c r="HQ29" s="154"/>
      <c r="HR29" s="154"/>
      <c r="HS29" s="154"/>
      <c r="HT29" s="154"/>
      <c r="HU29" s="154"/>
      <c r="HV29" s="154"/>
      <c r="HW29" s="154"/>
      <c r="HX29" s="154"/>
      <c r="HY29" s="154"/>
      <c r="HZ29" s="154"/>
      <c r="IA29" s="154"/>
      <c r="IB29" s="154"/>
      <c r="IC29" s="154"/>
      <c r="ID29" s="154"/>
      <c r="IE29" s="154"/>
      <c r="IF29" s="154"/>
      <c r="IG29" s="154"/>
      <c r="IH29" s="154"/>
      <c r="II29" s="154"/>
      <c r="IJ29" s="154"/>
    </row>
    <row r="30" spans="2:244" s="128" customFormat="1" ht="25.5" customHeight="1">
      <c r="B30" s="124">
        <f>B29+1</f>
        <v>2</v>
      </c>
      <c r="C30" s="990" t="s">
        <v>415</v>
      </c>
      <c r="D30" s="991"/>
      <c r="E30" s="991"/>
      <c r="F30" s="991"/>
      <c r="G30" s="991"/>
      <c r="H30" s="991"/>
      <c r="I30" s="991"/>
      <c r="J30" s="991"/>
      <c r="K30" s="991"/>
      <c r="L30" s="991"/>
      <c r="M30" s="991"/>
      <c r="N30" s="991"/>
      <c r="O30" s="991"/>
      <c r="P30" s="991"/>
      <c r="Q30" s="991"/>
      <c r="R30" s="991"/>
      <c r="S30" s="991"/>
      <c r="T30" s="991"/>
      <c r="U30" s="991"/>
      <c r="V30" s="992"/>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c r="BM30" s="154"/>
      <c r="BN30" s="154"/>
      <c r="BO30" s="154"/>
      <c r="BP30" s="154"/>
      <c r="BQ30" s="154"/>
      <c r="BR30" s="154"/>
      <c r="BS30" s="154"/>
      <c r="BT30" s="154"/>
      <c r="BU30" s="154"/>
      <c r="BV30" s="154"/>
      <c r="BW30" s="154"/>
      <c r="BX30" s="154"/>
      <c r="BY30" s="154"/>
      <c r="BZ30" s="154"/>
      <c r="CA30" s="154"/>
      <c r="CB30" s="154"/>
      <c r="CC30" s="154"/>
      <c r="CD30" s="154"/>
      <c r="CE30" s="154"/>
      <c r="CF30" s="154"/>
      <c r="CG30" s="154"/>
      <c r="CH30" s="154"/>
      <c r="CI30" s="154"/>
      <c r="CJ30" s="154"/>
      <c r="CK30" s="154"/>
      <c r="CL30" s="154"/>
      <c r="CM30" s="154"/>
      <c r="CN30" s="154"/>
      <c r="CO30" s="154"/>
      <c r="CP30" s="154"/>
      <c r="CQ30" s="154"/>
      <c r="CR30" s="154"/>
      <c r="CS30" s="154"/>
      <c r="CT30" s="154"/>
      <c r="CU30" s="154"/>
      <c r="CV30" s="154"/>
      <c r="CW30" s="154"/>
      <c r="CX30" s="154"/>
      <c r="CY30" s="154"/>
      <c r="CZ30" s="154"/>
      <c r="DA30" s="154"/>
      <c r="DB30" s="154"/>
      <c r="DC30" s="154"/>
      <c r="DD30" s="154"/>
      <c r="DE30" s="154"/>
      <c r="DF30" s="154"/>
      <c r="DG30" s="154"/>
      <c r="DH30" s="154"/>
      <c r="DI30" s="154"/>
      <c r="DJ30" s="154"/>
      <c r="DK30" s="154"/>
      <c r="DL30" s="154"/>
      <c r="DM30" s="154"/>
      <c r="DN30" s="154"/>
      <c r="DO30" s="154"/>
      <c r="DP30" s="154"/>
      <c r="DQ30" s="154"/>
      <c r="DR30" s="154"/>
      <c r="DS30" s="154"/>
      <c r="DT30" s="154"/>
      <c r="DU30" s="154"/>
      <c r="DV30" s="154"/>
      <c r="DW30" s="154"/>
      <c r="DX30" s="154"/>
      <c r="DY30" s="154"/>
      <c r="DZ30" s="154"/>
      <c r="EA30" s="154"/>
      <c r="EB30" s="154"/>
      <c r="EC30" s="154"/>
      <c r="ED30" s="154"/>
      <c r="EE30" s="154"/>
      <c r="EF30" s="154"/>
      <c r="EG30" s="154"/>
      <c r="EH30" s="154"/>
      <c r="EI30" s="154"/>
      <c r="EJ30" s="154"/>
      <c r="EK30" s="154"/>
      <c r="EL30" s="154"/>
      <c r="EM30" s="154"/>
      <c r="EN30" s="154"/>
      <c r="EO30" s="154"/>
      <c r="EP30" s="154"/>
      <c r="EQ30" s="154"/>
      <c r="ER30" s="154"/>
      <c r="ES30" s="154"/>
      <c r="ET30" s="154"/>
      <c r="EU30" s="154"/>
      <c r="EV30" s="154"/>
      <c r="EW30" s="154"/>
      <c r="EX30" s="154"/>
      <c r="EY30" s="154"/>
      <c r="EZ30" s="154"/>
      <c r="FA30" s="154"/>
      <c r="FB30" s="154"/>
      <c r="FC30" s="154"/>
      <c r="FD30" s="154"/>
      <c r="FE30" s="154"/>
      <c r="FF30" s="154"/>
      <c r="FG30" s="154"/>
      <c r="FH30" s="154"/>
      <c r="FI30" s="154"/>
      <c r="FJ30" s="154"/>
      <c r="FK30" s="154"/>
      <c r="FL30" s="154"/>
      <c r="FM30" s="154"/>
      <c r="FN30" s="154"/>
      <c r="FO30" s="154"/>
      <c r="FP30" s="154"/>
      <c r="FQ30" s="154"/>
      <c r="FR30" s="154"/>
      <c r="FS30" s="154"/>
      <c r="FT30" s="154"/>
      <c r="FU30" s="154"/>
      <c r="FV30" s="154"/>
      <c r="FW30" s="154"/>
      <c r="FX30" s="154"/>
      <c r="FY30" s="154"/>
      <c r="FZ30" s="154"/>
      <c r="GA30" s="154"/>
      <c r="GB30" s="154"/>
      <c r="GC30" s="154"/>
      <c r="GD30" s="154"/>
      <c r="GE30" s="154"/>
      <c r="GF30" s="154"/>
      <c r="GG30" s="154"/>
      <c r="GH30" s="154"/>
      <c r="GI30" s="154"/>
      <c r="GJ30" s="154"/>
      <c r="GK30" s="154"/>
      <c r="GL30" s="154"/>
      <c r="GM30" s="154"/>
      <c r="GN30" s="154"/>
      <c r="GO30" s="154"/>
      <c r="GP30" s="154"/>
      <c r="GQ30" s="154"/>
      <c r="GR30" s="154"/>
      <c r="GS30" s="154"/>
      <c r="GT30" s="154"/>
      <c r="GU30" s="154"/>
      <c r="GV30" s="154"/>
      <c r="GW30" s="154"/>
      <c r="GX30" s="154"/>
      <c r="GY30" s="154"/>
      <c r="GZ30" s="154"/>
      <c r="HA30" s="154"/>
      <c r="HB30" s="154"/>
      <c r="HC30" s="154"/>
      <c r="HD30" s="154"/>
      <c r="HE30" s="154"/>
      <c r="HF30" s="154"/>
      <c r="HG30" s="154"/>
      <c r="HH30" s="154"/>
      <c r="HI30" s="154"/>
      <c r="HJ30" s="154"/>
      <c r="HK30" s="154"/>
      <c r="HL30" s="154"/>
      <c r="HM30" s="154"/>
      <c r="HN30" s="154"/>
      <c r="HO30" s="154"/>
      <c r="HP30" s="154"/>
      <c r="HQ30" s="154"/>
      <c r="HR30" s="154"/>
      <c r="HS30" s="154"/>
      <c r="HT30" s="154"/>
      <c r="HU30" s="154"/>
      <c r="HV30" s="154"/>
      <c r="HW30" s="154"/>
      <c r="HX30" s="154"/>
      <c r="HY30" s="154"/>
      <c r="HZ30" s="154"/>
      <c r="IA30" s="154"/>
      <c r="IB30" s="154"/>
      <c r="IC30" s="154"/>
      <c r="ID30" s="154"/>
      <c r="IE30" s="154"/>
      <c r="IF30" s="154"/>
      <c r="IG30" s="154"/>
      <c r="IH30" s="154"/>
      <c r="II30" s="154"/>
      <c r="IJ30" s="154"/>
    </row>
    <row r="31" spans="2:244" ht="41.25" customHeight="1">
      <c r="B31" s="124">
        <v>3</v>
      </c>
      <c r="C31" s="990" t="s">
        <v>416</v>
      </c>
      <c r="D31" s="991"/>
      <c r="E31" s="991"/>
      <c r="F31" s="991"/>
      <c r="G31" s="991"/>
      <c r="H31" s="991"/>
      <c r="I31" s="991"/>
      <c r="J31" s="991"/>
      <c r="K31" s="991"/>
      <c r="L31" s="991"/>
      <c r="M31" s="991"/>
      <c r="N31" s="991"/>
      <c r="O31" s="991"/>
      <c r="P31" s="991"/>
      <c r="Q31" s="991"/>
      <c r="R31" s="991"/>
      <c r="S31" s="991"/>
      <c r="T31" s="991"/>
      <c r="U31" s="991"/>
      <c r="V31" s="992"/>
    </row>
    <row r="37" spans="4:8">
      <c r="D37" s="159"/>
      <c r="E37" s="159"/>
      <c r="F37" s="159"/>
      <c r="G37" s="159"/>
      <c r="H37" s="159"/>
    </row>
  </sheetData>
  <mergeCells count="5">
    <mergeCell ref="B3:M3"/>
    <mergeCell ref="B12:T12"/>
    <mergeCell ref="C29:V29"/>
    <mergeCell ref="C30:V30"/>
    <mergeCell ref="C31:V31"/>
  </mergeCells>
  <printOptions horizontalCentered="1" verticalCentered="1"/>
  <pageMargins left="0.39370078740157499" right="0.39370078740157499" top="0.39370078740157499" bottom="0.39370078740157499" header="0" footer="0"/>
  <pageSetup paperSize="9" scale="26" firstPageNumber="0" orientation="landscape" useFirstPageNumber="1"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B2:IM31"/>
  <sheetViews>
    <sheetView showGridLines="0" zoomScale="120" zoomScaleNormal="120" zoomScaleSheetLayoutView="80" workbookViewId="0">
      <selection activeCell="C9" sqref="C9"/>
    </sheetView>
  </sheetViews>
  <sheetFormatPr defaultColWidth="9.7109375" defaultRowHeight="18"/>
  <cols>
    <col min="1" max="1" width="9.7109375" style="207"/>
    <col min="2" max="2" width="5.28515625" style="205" customWidth="1"/>
    <col min="3" max="3" width="40.140625" style="206" customWidth="1"/>
    <col min="4" max="4" width="18.7109375" style="206" customWidth="1"/>
    <col min="5" max="5" width="16.42578125" style="206" customWidth="1"/>
    <col min="6" max="10" width="16" style="206" customWidth="1"/>
    <col min="11" max="11" width="19.140625" style="206" customWidth="1"/>
    <col min="12" max="12" width="21.85546875" style="206" customWidth="1"/>
    <col min="13" max="13" width="18.42578125" style="206" bestFit="1" customWidth="1"/>
    <col min="14" max="14" width="31.5703125" style="206" customWidth="1"/>
    <col min="15" max="15" width="29.28515625" style="206" customWidth="1"/>
    <col min="16" max="16" width="33" style="206" customWidth="1"/>
    <col min="17" max="17" width="33.7109375" style="206" customWidth="1"/>
    <col min="18" max="18" width="31.28515625" style="206" customWidth="1"/>
    <col min="19" max="19" width="33.28515625" style="206" customWidth="1"/>
    <col min="20" max="21" width="33.5703125" style="206" customWidth="1"/>
    <col min="22" max="22" width="34.5703125" style="206" customWidth="1"/>
    <col min="23" max="23" width="36" style="206" customWidth="1"/>
    <col min="24" max="24" width="24.85546875" style="206" customWidth="1"/>
    <col min="25" max="246" width="9.7109375" style="206"/>
    <col min="247" max="16384" width="9.7109375" style="207"/>
  </cols>
  <sheetData>
    <row r="2" spans="2:247" ht="18.75" thickBot="1">
      <c r="D2" s="206" t="s">
        <v>417</v>
      </c>
      <c r="E2" s="206" t="s">
        <v>418</v>
      </c>
      <c r="F2" s="206" t="s">
        <v>419</v>
      </c>
      <c r="G2" s="206" t="s">
        <v>420</v>
      </c>
      <c r="H2" s="206" t="s">
        <v>421</v>
      </c>
      <c r="IL2" s="207"/>
    </row>
    <row r="3" spans="2:247" ht="22.5" customHeight="1" thickBot="1">
      <c r="C3" s="993" t="s">
        <v>422</v>
      </c>
      <c r="D3" s="994"/>
      <c r="E3" s="994"/>
      <c r="F3" s="994"/>
      <c r="G3" s="994"/>
      <c r="H3" s="994"/>
      <c r="I3" s="994"/>
      <c r="J3" s="994"/>
      <c r="K3" s="994"/>
      <c r="L3" s="994"/>
      <c r="M3" s="994"/>
      <c r="N3" s="995"/>
      <c r="IM3" s="206"/>
    </row>
    <row r="4" spans="2:247" ht="48" customHeight="1">
      <c r="C4" s="268" t="s">
        <v>400</v>
      </c>
      <c r="D4" s="262" t="s">
        <v>423</v>
      </c>
      <c r="E4" s="262" t="s">
        <v>424</v>
      </c>
      <c r="F4" s="262" t="s">
        <v>425</v>
      </c>
      <c r="G4" s="262" t="s">
        <v>426</v>
      </c>
      <c r="H4" s="262" t="s">
        <v>427</v>
      </c>
      <c r="I4" s="262" t="s">
        <v>393</v>
      </c>
      <c r="J4" s="262" t="s">
        <v>409</v>
      </c>
      <c r="K4" s="262" t="s">
        <v>428</v>
      </c>
      <c r="L4" s="261" t="s">
        <v>429</v>
      </c>
      <c r="M4" s="226" t="s">
        <v>430</v>
      </c>
      <c r="N4" s="226" t="s">
        <v>431</v>
      </c>
      <c r="IJ4" s="207"/>
      <c r="IK4" s="207"/>
      <c r="IL4" s="207"/>
    </row>
    <row r="5" spans="2:247" ht="24.75" customHeight="1">
      <c r="C5" s="215" t="s">
        <v>432</v>
      </c>
      <c r="D5" s="269"/>
      <c r="E5" s="234">
        <f>3508.43</f>
        <v>3508.43</v>
      </c>
      <c r="F5" s="234">
        <f>3614.24</f>
        <v>3614.24</v>
      </c>
      <c r="G5" s="234">
        <v>3508.37</v>
      </c>
      <c r="H5" s="269"/>
      <c r="I5" s="270">
        <f>AVERAGE(D5:H5)</f>
        <v>3543.6800000000003</v>
      </c>
      <c r="J5" s="270">
        <f>MEDIAN(D5:H5)</f>
        <v>3508.43</v>
      </c>
      <c r="K5" s="270">
        <f>SMALL(I5:J5,1)</f>
        <v>3508.43</v>
      </c>
      <c r="L5" s="258">
        <f>SMALL((D5:H5),1)</f>
        <v>3508.37</v>
      </c>
      <c r="M5" s="270">
        <v>3222.4</v>
      </c>
      <c r="N5" s="243">
        <f>L5-M5</f>
        <v>285.9699999999998</v>
      </c>
      <c r="O5" s="259"/>
      <c r="P5" s="259"/>
      <c r="IJ5" s="207"/>
      <c r="IK5" s="207"/>
      <c r="IL5" s="207"/>
    </row>
    <row r="6" spans="2:247" ht="24.75" customHeight="1">
      <c r="C6" s="215" t="s">
        <v>6</v>
      </c>
      <c r="D6" s="232">
        <f>3137.16</f>
        <v>3137.16</v>
      </c>
      <c r="E6" s="234">
        <f>3247.83</f>
        <v>3247.83</v>
      </c>
      <c r="F6" s="234">
        <f>2942.8</f>
        <v>2942.8</v>
      </c>
      <c r="G6" s="234">
        <v>3247.71</v>
      </c>
      <c r="H6" s="234">
        <v>3572.61</v>
      </c>
      <c r="I6" s="270">
        <f t="shared" ref="I6:I7" si="0">AVERAGE(D6:H6)</f>
        <v>3229.6220000000003</v>
      </c>
      <c r="J6" s="270">
        <f t="shared" ref="J6:J7" si="1">MEDIAN(D6:H6)</f>
        <v>3247.71</v>
      </c>
      <c r="K6" s="270">
        <f t="shared" ref="K6:K7" si="2">SMALL(I6:J6,1)</f>
        <v>3229.6220000000003</v>
      </c>
      <c r="L6" s="258">
        <v>2691.93</v>
      </c>
      <c r="M6" s="270">
        <v>2405.96</v>
      </c>
      <c r="N6" s="243">
        <f t="shared" ref="N6:N7" si="3">L6-M6</f>
        <v>285.9699999999998</v>
      </c>
      <c r="O6" s="259"/>
      <c r="P6" s="259"/>
      <c r="S6" s="259"/>
      <c r="IJ6" s="207"/>
      <c r="IK6" s="207"/>
      <c r="IL6" s="207"/>
    </row>
    <row r="7" spans="2:247" ht="24.75" customHeight="1">
      <c r="C7" s="215" t="s">
        <v>8</v>
      </c>
      <c r="D7" s="269"/>
      <c r="E7" s="234">
        <f>2319.64</f>
        <v>2319.64</v>
      </c>
      <c r="F7" s="234">
        <f>2077.35</f>
        <v>2077.35</v>
      </c>
      <c r="G7" s="234">
        <v>2319.5500000000002</v>
      </c>
      <c r="H7" s="234">
        <v>2551.6</v>
      </c>
      <c r="I7" s="270">
        <f t="shared" si="0"/>
        <v>2317.0349999999999</v>
      </c>
      <c r="J7" s="270">
        <f t="shared" si="1"/>
        <v>2319.5950000000003</v>
      </c>
      <c r="K7" s="270">
        <f t="shared" si="2"/>
        <v>2317.0349999999999</v>
      </c>
      <c r="L7" s="258">
        <v>2319.5500000000002</v>
      </c>
      <c r="M7" s="270">
        <v>1629.62</v>
      </c>
      <c r="N7" s="243">
        <f t="shared" si="3"/>
        <v>689.93000000000029</v>
      </c>
      <c r="O7" s="259"/>
      <c r="P7" s="259"/>
      <c r="S7" s="259"/>
      <c r="IJ7" s="207"/>
      <c r="IK7" s="207"/>
      <c r="IL7" s="207"/>
    </row>
    <row r="8" spans="2:247">
      <c r="C8" s="264" t="s">
        <v>99</v>
      </c>
      <c r="D8" s="999" t="s">
        <v>433</v>
      </c>
      <c r="E8" s="999"/>
      <c r="F8" s="999"/>
      <c r="G8" s="999"/>
      <c r="H8" s="999"/>
      <c r="I8" s="999"/>
      <c r="J8" s="999"/>
      <c r="K8" s="999"/>
      <c r="L8" s="999"/>
      <c r="M8" s="263"/>
      <c r="N8" s="263"/>
    </row>
    <row r="9" spans="2:247">
      <c r="M9" s="265"/>
    </row>
    <row r="11" spans="2:247">
      <c r="IK11" s="207"/>
      <c r="IL11" s="207"/>
    </row>
    <row r="12" spans="2:247" s="203" customFormat="1" ht="15.75">
      <c r="B12" s="208"/>
      <c r="C12" s="209"/>
      <c r="D12" s="209"/>
      <c r="E12" s="209" t="s">
        <v>434</v>
      </c>
      <c r="F12" s="209" t="s">
        <v>434</v>
      </c>
      <c r="G12" s="209" t="s">
        <v>434</v>
      </c>
      <c r="H12" s="209" t="s">
        <v>434</v>
      </c>
      <c r="I12" s="209" t="s">
        <v>434</v>
      </c>
      <c r="J12" s="209" t="s">
        <v>434</v>
      </c>
      <c r="K12" s="209" t="s">
        <v>434</v>
      </c>
      <c r="L12" s="209"/>
      <c r="M12" s="209"/>
      <c r="N12" s="219"/>
      <c r="O12" s="219"/>
      <c r="P12" s="219"/>
      <c r="Q12" s="21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09"/>
      <c r="GF12" s="209"/>
      <c r="GG12" s="209"/>
      <c r="GH12" s="209"/>
      <c r="GI12" s="209"/>
      <c r="GJ12" s="209"/>
      <c r="GK12" s="209"/>
      <c r="GL12" s="209"/>
      <c r="GM12" s="209"/>
      <c r="GN12" s="209"/>
      <c r="GO12" s="209"/>
      <c r="GP12" s="209"/>
      <c r="GQ12" s="209"/>
      <c r="GR12" s="209"/>
      <c r="GS12" s="209"/>
      <c r="GT12" s="209"/>
      <c r="GU12" s="209"/>
      <c r="GV12" s="209"/>
      <c r="GW12" s="209"/>
      <c r="GX12" s="209"/>
      <c r="GY12" s="209"/>
      <c r="GZ12" s="209"/>
      <c r="HA12" s="209"/>
      <c r="HB12" s="209"/>
      <c r="HC12" s="209"/>
      <c r="HD12" s="209"/>
      <c r="HE12" s="209"/>
      <c r="HF12" s="209"/>
      <c r="HG12" s="209"/>
      <c r="HH12" s="209"/>
      <c r="HI12" s="209"/>
      <c r="HJ12" s="209"/>
      <c r="HK12" s="209"/>
      <c r="HL12" s="209"/>
      <c r="HM12" s="209"/>
      <c r="HN12" s="209"/>
      <c r="HO12" s="209"/>
      <c r="HP12" s="209"/>
      <c r="HQ12" s="209"/>
      <c r="HR12" s="209"/>
      <c r="HS12" s="209"/>
      <c r="HT12" s="209"/>
      <c r="HU12" s="209"/>
      <c r="HV12" s="209"/>
      <c r="HW12" s="209"/>
      <c r="HX12" s="209"/>
      <c r="HY12" s="209"/>
      <c r="HZ12" s="209"/>
      <c r="IA12" s="209"/>
      <c r="IB12" s="209"/>
      <c r="IC12" s="209"/>
      <c r="ID12" s="209"/>
      <c r="IE12" s="209"/>
      <c r="IF12" s="209"/>
      <c r="IG12" s="209"/>
    </row>
    <row r="13" spans="2:247" s="204" customFormat="1" ht="15.75">
      <c r="B13" s="210"/>
      <c r="C13" s="211"/>
      <c r="D13" s="211"/>
      <c r="E13" s="235">
        <v>4</v>
      </c>
      <c r="F13" s="235">
        <v>7</v>
      </c>
      <c r="G13" s="235">
        <v>6</v>
      </c>
      <c r="H13" s="235">
        <v>5</v>
      </c>
      <c r="I13" s="235">
        <v>8</v>
      </c>
      <c r="J13" s="235">
        <v>11</v>
      </c>
      <c r="K13" s="235">
        <v>13</v>
      </c>
      <c r="L13" s="211"/>
      <c r="M13" s="211"/>
      <c r="N13" s="211"/>
      <c r="O13" s="211"/>
      <c r="P13" s="211"/>
      <c r="Q13" s="211"/>
      <c r="R13" s="220"/>
      <c r="S13" s="211"/>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c r="CK13" s="211"/>
      <c r="CL13" s="211"/>
      <c r="CM13" s="211"/>
      <c r="CN13" s="211"/>
      <c r="CO13" s="211"/>
      <c r="CP13" s="211"/>
      <c r="CQ13" s="211"/>
      <c r="CR13" s="211"/>
      <c r="CS13" s="211"/>
      <c r="CT13" s="211"/>
      <c r="CU13" s="211"/>
      <c r="CV13" s="211"/>
      <c r="CW13" s="211"/>
      <c r="CX13" s="211"/>
      <c r="CY13" s="211"/>
      <c r="CZ13" s="211"/>
      <c r="DA13" s="211"/>
      <c r="DB13" s="211"/>
      <c r="DC13" s="211"/>
      <c r="DD13" s="211"/>
      <c r="DE13" s="211"/>
      <c r="DF13" s="211"/>
      <c r="DG13" s="211"/>
      <c r="DH13" s="211"/>
      <c r="DI13" s="211"/>
      <c r="DJ13" s="211"/>
      <c r="DK13" s="211"/>
      <c r="DL13" s="211"/>
      <c r="DM13" s="211"/>
      <c r="DN13" s="211"/>
      <c r="DO13" s="211"/>
      <c r="DP13" s="211"/>
      <c r="DQ13" s="211"/>
      <c r="DR13" s="211"/>
      <c r="DS13" s="211"/>
      <c r="DT13" s="211"/>
      <c r="DU13" s="211"/>
      <c r="DV13" s="211"/>
      <c r="DW13" s="211"/>
      <c r="DX13" s="211"/>
      <c r="DY13" s="211"/>
      <c r="DZ13" s="211"/>
      <c r="EA13" s="211"/>
      <c r="EB13" s="211"/>
      <c r="EC13" s="211"/>
      <c r="ED13" s="211"/>
      <c r="EE13" s="211"/>
      <c r="EF13" s="211"/>
      <c r="EG13" s="211"/>
      <c r="EH13" s="211"/>
      <c r="EI13" s="211"/>
      <c r="EJ13" s="211"/>
      <c r="EK13" s="211"/>
      <c r="EL13" s="211"/>
      <c r="EM13" s="211"/>
      <c r="EN13" s="211"/>
      <c r="EO13" s="211"/>
      <c r="EP13" s="211"/>
      <c r="EQ13" s="211"/>
      <c r="ER13" s="211"/>
      <c r="ES13" s="211"/>
      <c r="ET13" s="211"/>
      <c r="EU13" s="211"/>
      <c r="EV13" s="211"/>
      <c r="EW13" s="211"/>
      <c r="EX13" s="211"/>
      <c r="EY13" s="211"/>
      <c r="EZ13" s="211"/>
      <c r="FA13" s="211"/>
      <c r="FB13" s="211"/>
      <c r="FC13" s="211"/>
      <c r="FD13" s="211"/>
      <c r="FE13" s="211"/>
      <c r="FF13" s="211"/>
      <c r="FG13" s="211"/>
      <c r="FH13" s="211"/>
      <c r="FI13" s="211"/>
      <c r="FJ13" s="211"/>
      <c r="FK13" s="211"/>
      <c r="FL13" s="211"/>
      <c r="FM13" s="211"/>
      <c r="FN13" s="211"/>
      <c r="FO13" s="211"/>
      <c r="FP13" s="211"/>
      <c r="FQ13" s="211"/>
      <c r="FR13" s="211"/>
      <c r="FS13" s="211"/>
      <c r="FT13" s="211"/>
      <c r="FU13" s="211"/>
      <c r="FV13" s="211"/>
      <c r="FW13" s="211"/>
      <c r="FX13" s="211"/>
      <c r="FY13" s="211"/>
      <c r="FZ13" s="211"/>
      <c r="GA13" s="211"/>
      <c r="GB13" s="211"/>
      <c r="GC13" s="211"/>
      <c r="GD13" s="211"/>
      <c r="GE13" s="211"/>
      <c r="GF13" s="211"/>
      <c r="GG13" s="211"/>
      <c r="GH13" s="211"/>
      <c r="GI13" s="211"/>
      <c r="GJ13" s="211"/>
      <c r="GK13" s="211"/>
      <c r="GL13" s="211"/>
      <c r="GM13" s="211"/>
      <c r="GN13" s="211"/>
      <c r="GO13" s="211"/>
      <c r="GP13" s="211"/>
      <c r="GQ13" s="211"/>
      <c r="GR13" s="211"/>
      <c r="GS13" s="211"/>
      <c r="GT13" s="211"/>
      <c r="GU13" s="211"/>
      <c r="GV13" s="211"/>
      <c r="GW13" s="211"/>
      <c r="GX13" s="211"/>
      <c r="GY13" s="211"/>
      <c r="GZ13" s="211"/>
      <c r="HA13" s="211"/>
      <c r="HB13" s="211"/>
      <c r="HC13" s="211"/>
      <c r="HD13" s="211"/>
      <c r="HE13" s="211"/>
      <c r="HF13" s="211"/>
      <c r="HG13" s="211"/>
      <c r="HH13" s="211"/>
      <c r="HI13" s="211"/>
      <c r="HJ13" s="211"/>
      <c r="HK13" s="211"/>
      <c r="HL13" s="211"/>
      <c r="HM13" s="211"/>
      <c r="HN13" s="211"/>
      <c r="HO13" s="211"/>
      <c r="HP13" s="211"/>
      <c r="HQ13" s="211"/>
      <c r="HR13" s="211"/>
      <c r="HS13" s="211"/>
      <c r="HT13" s="211"/>
      <c r="HU13" s="211"/>
      <c r="HV13" s="211"/>
      <c r="HW13" s="211"/>
      <c r="HX13" s="211"/>
      <c r="HY13" s="211"/>
      <c r="HZ13" s="211"/>
      <c r="IA13" s="211"/>
      <c r="IB13" s="211"/>
      <c r="IC13" s="211"/>
      <c r="ID13" s="211"/>
      <c r="IE13" s="211"/>
      <c r="IF13" s="211"/>
    </row>
    <row r="14" spans="2:247" s="126" customFormat="1" ht="26.25" customHeight="1">
      <c r="B14" s="125"/>
      <c r="C14" s="996" t="s">
        <v>399</v>
      </c>
      <c r="D14" s="997"/>
      <c r="E14" s="997"/>
      <c r="F14" s="997"/>
      <c r="G14" s="997"/>
      <c r="H14" s="997"/>
      <c r="I14" s="997"/>
      <c r="J14" s="997"/>
      <c r="K14" s="997"/>
      <c r="L14" s="997"/>
      <c r="M14" s="997"/>
      <c r="N14" s="997"/>
      <c r="O14" s="998"/>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17"/>
      <c r="BG14" s="217"/>
      <c r="BH14" s="217"/>
      <c r="BI14" s="217"/>
      <c r="BJ14" s="217"/>
      <c r="BK14" s="217"/>
      <c r="BL14" s="217"/>
      <c r="BM14" s="217"/>
      <c r="BN14" s="217"/>
      <c r="BO14" s="217"/>
      <c r="BP14" s="217"/>
      <c r="BQ14" s="217"/>
      <c r="BR14" s="217"/>
      <c r="BS14" s="217"/>
      <c r="BT14" s="217"/>
      <c r="BU14" s="217"/>
      <c r="BV14" s="217"/>
      <c r="BW14" s="217"/>
      <c r="BX14" s="217"/>
      <c r="BY14" s="217"/>
      <c r="BZ14" s="217"/>
      <c r="CA14" s="217"/>
      <c r="CB14" s="217"/>
      <c r="CC14" s="217"/>
      <c r="CD14" s="217"/>
      <c r="CE14" s="217"/>
      <c r="CF14" s="217"/>
      <c r="CG14" s="217"/>
      <c r="CH14" s="217"/>
      <c r="CI14" s="217"/>
      <c r="CJ14" s="217"/>
      <c r="CK14" s="217"/>
      <c r="CL14" s="217"/>
      <c r="CM14" s="217"/>
      <c r="CN14" s="217"/>
      <c r="CO14" s="217"/>
      <c r="CP14" s="217"/>
      <c r="CQ14" s="217"/>
      <c r="CR14" s="217"/>
      <c r="CS14" s="217"/>
      <c r="CT14" s="217"/>
      <c r="CU14" s="217"/>
      <c r="CV14" s="217"/>
      <c r="CW14" s="217"/>
      <c r="CX14" s="217"/>
      <c r="CY14" s="217"/>
      <c r="CZ14" s="217"/>
      <c r="DA14" s="217"/>
      <c r="DB14" s="217"/>
      <c r="DC14" s="217"/>
      <c r="DD14" s="217"/>
      <c r="DE14" s="217"/>
      <c r="DF14" s="217"/>
      <c r="DG14" s="217"/>
      <c r="DH14" s="217"/>
      <c r="DI14" s="217"/>
      <c r="DJ14" s="217"/>
      <c r="DK14" s="217"/>
      <c r="DL14" s="217"/>
      <c r="DM14" s="217"/>
      <c r="DN14" s="217"/>
      <c r="DO14" s="217"/>
      <c r="DP14" s="217"/>
      <c r="DQ14" s="217"/>
      <c r="DR14" s="217"/>
      <c r="DS14" s="217"/>
      <c r="DT14" s="217"/>
      <c r="DU14" s="217"/>
      <c r="DV14" s="217"/>
      <c r="DW14" s="217"/>
      <c r="DX14" s="217"/>
      <c r="DY14" s="217"/>
      <c r="DZ14" s="217"/>
      <c r="EA14" s="217"/>
      <c r="EB14" s="217"/>
      <c r="EC14" s="217"/>
      <c r="ED14" s="217"/>
      <c r="EE14" s="217"/>
      <c r="EF14" s="217"/>
      <c r="EG14" s="217"/>
      <c r="EH14" s="217"/>
      <c r="EI14" s="217"/>
      <c r="EJ14" s="217"/>
      <c r="EK14" s="217"/>
      <c r="EL14" s="217"/>
      <c r="EM14" s="217"/>
      <c r="EN14" s="217"/>
      <c r="EO14" s="217"/>
      <c r="EP14" s="217"/>
      <c r="EQ14" s="217"/>
      <c r="ER14" s="217"/>
      <c r="ES14" s="217"/>
      <c r="ET14" s="217"/>
      <c r="EU14" s="217"/>
      <c r="EV14" s="217"/>
      <c r="EW14" s="217"/>
      <c r="EX14" s="217"/>
      <c r="EY14" s="217"/>
      <c r="EZ14" s="217"/>
      <c r="FA14" s="217"/>
      <c r="FB14" s="217"/>
      <c r="FC14" s="217"/>
      <c r="FD14" s="217"/>
      <c r="FE14" s="217"/>
      <c r="FF14" s="217"/>
      <c r="FG14" s="217"/>
      <c r="FH14" s="217"/>
      <c r="FI14" s="217"/>
      <c r="FJ14" s="217"/>
      <c r="FK14" s="217"/>
      <c r="FL14" s="217"/>
      <c r="FM14" s="217"/>
      <c r="FN14" s="217"/>
      <c r="FO14" s="217"/>
      <c r="FP14" s="217"/>
      <c r="FQ14" s="217"/>
      <c r="FR14" s="217"/>
      <c r="FS14" s="217"/>
      <c r="FT14" s="217"/>
      <c r="FU14" s="217"/>
      <c r="FV14" s="217"/>
      <c r="FW14" s="217"/>
      <c r="FX14" s="217"/>
      <c r="FY14" s="217"/>
      <c r="FZ14" s="217"/>
      <c r="GA14" s="217"/>
      <c r="GB14" s="217"/>
      <c r="GC14" s="217"/>
      <c r="GD14" s="217"/>
      <c r="GE14" s="217"/>
      <c r="GF14" s="217"/>
      <c r="GG14" s="217"/>
      <c r="GH14" s="217"/>
      <c r="GI14" s="217"/>
      <c r="GJ14" s="217"/>
      <c r="GK14" s="217"/>
      <c r="GL14" s="217"/>
      <c r="GM14" s="217"/>
      <c r="GN14" s="217"/>
      <c r="GO14" s="217"/>
      <c r="GP14" s="217"/>
      <c r="GQ14" s="217"/>
      <c r="GR14" s="217"/>
      <c r="GS14" s="217"/>
      <c r="GT14" s="217"/>
      <c r="GU14" s="217"/>
      <c r="GV14" s="217"/>
      <c r="GW14" s="217"/>
      <c r="GX14" s="217"/>
      <c r="GY14" s="217"/>
      <c r="GZ14" s="217"/>
      <c r="HA14" s="217"/>
      <c r="HB14" s="217"/>
      <c r="HC14" s="217"/>
      <c r="HD14" s="217"/>
      <c r="HE14" s="217"/>
      <c r="HF14" s="217"/>
      <c r="HG14" s="217"/>
      <c r="HH14" s="217"/>
      <c r="HI14" s="217"/>
      <c r="HJ14" s="217"/>
      <c r="HK14" s="217"/>
      <c r="HL14" s="217"/>
      <c r="HM14" s="217"/>
      <c r="HN14" s="217"/>
      <c r="HO14" s="217"/>
      <c r="HP14" s="217"/>
      <c r="HQ14" s="217"/>
      <c r="HR14" s="217"/>
      <c r="HS14" s="217"/>
      <c r="HT14" s="217"/>
      <c r="HU14" s="217"/>
      <c r="HV14" s="217"/>
      <c r="HW14" s="217"/>
      <c r="HX14" s="217"/>
      <c r="HY14" s="217"/>
      <c r="HZ14" s="217"/>
      <c r="IA14" s="217"/>
    </row>
    <row r="15" spans="2:247" s="126" customFormat="1" ht="36">
      <c r="B15" s="125"/>
      <c r="C15" s="212" t="s">
        <v>400</v>
      </c>
      <c r="D15" s="213" t="s">
        <v>401</v>
      </c>
      <c r="E15" s="214" t="s">
        <v>435</v>
      </c>
      <c r="F15" s="214" t="s">
        <v>436</v>
      </c>
      <c r="G15" s="214" t="s">
        <v>437</v>
      </c>
      <c r="H15" s="214" t="s">
        <v>438</v>
      </c>
      <c r="I15" s="214" t="s">
        <v>439</v>
      </c>
      <c r="J15" s="214" t="s">
        <v>440</v>
      </c>
      <c r="K15" s="214" t="s">
        <v>441</v>
      </c>
      <c r="L15" s="212" t="s">
        <v>408</v>
      </c>
      <c r="M15" s="212" t="s">
        <v>409</v>
      </c>
      <c r="N15" s="212" t="s">
        <v>410</v>
      </c>
      <c r="O15" s="212" t="s">
        <v>411</v>
      </c>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217"/>
      <c r="BU15" s="217"/>
      <c r="BV15" s="217"/>
      <c r="BW15" s="217"/>
      <c r="BX15" s="217"/>
      <c r="BY15" s="217"/>
      <c r="BZ15" s="217"/>
      <c r="CA15" s="217"/>
      <c r="CB15" s="217"/>
      <c r="CC15" s="217"/>
      <c r="CD15" s="217"/>
      <c r="CE15" s="217"/>
      <c r="CF15" s="217"/>
      <c r="CG15" s="217"/>
      <c r="CH15" s="217"/>
      <c r="CI15" s="217"/>
      <c r="CJ15" s="217"/>
      <c r="CK15" s="217"/>
      <c r="CL15" s="217"/>
      <c r="CM15" s="217"/>
      <c r="CN15" s="217"/>
      <c r="CO15" s="217"/>
      <c r="CP15" s="217"/>
      <c r="CQ15" s="217"/>
      <c r="CR15" s="217"/>
      <c r="CS15" s="217"/>
      <c r="CT15" s="217"/>
      <c r="CU15" s="217"/>
      <c r="CV15" s="217"/>
      <c r="CW15" s="217"/>
      <c r="CX15" s="217"/>
      <c r="CY15" s="217"/>
      <c r="CZ15" s="217"/>
      <c r="DA15" s="217"/>
      <c r="DB15" s="217"/>
      <c r="DC15" s="217"/>
      <c r="DD15" s="217"/>
      <c r="DE15" s="217"/>
      <c r="DF15" s="217"/>
      <c r="DG15" s="217"/>
      <c r="DH15" s="217"/>
      <c r="DI15" s="217"/>
      <c r="DJ15" s="217"/>
      <c r="DK15" s="217"/>
      <c r="DL15" s="217"/>
      <c r="DM15" s="217"/>
      <c r="DN15" s="217"/>
      <c r="DO15" s="217"/>
      <c r="DP15" s="217"/>
      <c r="DQ15" s="217"/>
      <c r="DR15" s="217"/>
      <c r="DS15" s="217"/>
      <c r="DT15" s="217"/>
      <c r="DU15" s="217"/>
      <c r="DV15" s="217"/>
      <c r="DW15" s="217"/>
      <c r="DX15" s="217"/>
      <c r="DY15" s="217"/>
      <c r="DZ15" s="217"/>
      <c r="EA15" s="217"/>
      <c r="EB15" s="217"/>
      <c r="EC15" s="217"/>
      <c r="ED15" s="217"/>
      <c r="EE15" s="217"/>
      <c r="EF15" s="217"/>
      <c r="EG15" s="217"/>
      <c r="EH15" s="217"/>
      <c r="EI15" s="217"/>
      <c r="EJ15" s="217"/>
      <c r="EK15" s="217"/>
      <c r="EL15" s="217"/>
      <c r="EM15" s="217"/>
      <c r="EN15" s="217"/>
      <c r="EO15" s="217"/>
      <c r="EP15" s="217"/>
      <c r="EQ15" s="217"/>
      <c r="ER15" s="217"/>
      <c r="ES15" s="217"/>
      <c r="ET15" s="217"/>
      <c r="EU15" s="217"/>
      <c r="EV15" s="217"/>
      <c r="EW15" s="217"/>
      <c r="EX15" s="217"/>
      <c r="EY15" s="217"/>
      <c r="EZ15" s="217"/>
      <c r="FA15" s="217"/>
      <c r="FB15" s="217"/>
      <c r="FC15" s="217"/>
      <c r="FD15" s="217"/>
      <c r="FE15" s="217"/>
      <c r="FF15" s="217"/>
      <c r="FG15" s="217"/>
      <c r="FH15" s="217"/>
      <c r="FI15" s="217"/>
      <c r="FJ15" s="217"/>
      <c r="FK15" s="217"/>
      <c r="FL15" s="217"/>
      <c r="FM15" s="217"/>
      <c r="FN15" s="217"/>
      <c r="FO15" s="217"/>
      <c r="FP15" s="217"/>
      <c r="FQ15" s="217"/>
      <c r="FR15" s="217"/>
      <c r="FS15" s="217"/>
      <c r="FT15" s="217"/>
      <c r="FU15" s="217"/>
      <c r="FV15" s="217"/>
      <c r="FW15" s="217"/>
      <c r="FX15" s="217"/>
      <c r="FY15" s="217"/>
      <c r="FZ15" s="217"/>
      <c r="GA15" s="217"/>
      <c r="GB15" s="217"/>
      <c r="GC15" s="217"/>
      <c r="GD15" s="217"/>
      <c r="GE15" s="217"/>
      <c r="GF15" s="217"/>
      <c r="GG15" s="217"/>
      <c r="GH15" s="217"/>
      <c r="GI15" s="217"/>
      <c r="GJ15" s="217"/>
      <c r="GK15" s="217"/>
      <c r="GL15" s="217"/>
      <c r="GM15" s="217"/>
      <c r="GN15" s="217"/>
      <c r="GO15" s="217"/>
      <c r="GP15" s="217"/>
      <c r="GQ15" s="217"/>
      <c r="GR15" s="217"/>
      <c r="GS15" s="217"/>
      <c r="GT15" s="217"/>
      <c r="GU15" s="217"/>
      <c r="GV15" s="217"/>
      <c r="GW15" s="217"/>
      <c r="GX15" s="217"/>
      <c r="GY15" s="217"/>
      <c r="GZ15" s="217"/>
      <c r="HA15" s="217"/>
      <c r="HB15" s="217"/>
      <c r="HC15" s="217"/>
      <c r="HD15" s="217"/>
      <c r="HE15" s="217"/>
      <c r="HF15" s="217"/>
      <c r="HG15" s="217"/>
      <c r="HH15" s="217"/>
      <c r="HI15" s="217"/>
      <c r="HJ15" s="217"/>
      <c r="HK15" s="217"/>
      <c r="HL15" s="217"/>
      <c r="HM15" s="217"/>
      <c r="HN15" s="217"/>
      <c r="HO15" s="217"/>
      <c r="HP15" s="217"/>
      <c r="HQ15" s="217"/>
      <c r="HR15" s="217"/>
      <c r="HS15" s="217"/>
      <c r="HT15" s="217"/>
      <c r="HU15" s="217"/>
      <c r="HV15" s="217"/>
      <c r="HW15" s="217"/>
      <c r="HX15" s="217"/>
      <c r="HY15" s="217"/>
      <c r="HZ15" s="217"/>
      <c r="IA15" s="217"/>
      <c r="IB15" s="217"/>
      <c r="IC15" s="217"/>
    </row>
    <row r="16" spans="2:247" s="126" customFormat="1" ht="21.75" customHeight="1">
      <c r="B16" s="125"/>
      <c r="C16" s="215" t="s">
        <v>432</v>
      </c>
      <c r="D16" s="231" t="e">
        <f>RESUMO_Preços!#REF!</f>
        <v>#REF!</v>
      </c>
      <c r="E16" s="216"/>
      <c r="F16" s="237">
        <v>9390.99</v>
      </c>
      <c r="G16" s="236">
        <v>8480.32</v>
      </c>
      <c r="H16" s="244">
        <v>9421.9</v>
      </c>
      <c r="I16" s="216"/>
      <c r="J16" s="236">
        <f>9928.8*(1+39.83/100)</f>
        <v>13883.441039999998</v>
      </c>
      <c r="K16" s="236">
        <v>15054.2</v>
      </c>
      <c r="L16" s="221">
        <f>AVERAGE(E16:K16)</f>
        <v>11246.170208</v>
      </c>
      <c r="M16" s="222">
        <f>MEDIAN(E16:K16)</f>
        <v>9421.9</v>
      </c>
      <c r="N16" s="222">
        <f>SMALL(L16:M16,1)</f>
        <v>9421.9</v>
      </c>
      <c r="O16" s="243" t="e">
        <f>D16-N16</f>
        <v>#REF!</v>
      </c>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c r="BE16" s="217"/>
      <c r="BF16" s="217"/>
      <c r="BG16" s="217"/>
      <c r="BH16" s="217"/>
      <c r="BI16" s="217"/>
      <c r="BJ16" s="217"/>
      <c r="BK16" s="217"/>
      <c r="BL16" s="217"/>
      <c r="BM16" s="217"/>
      <c r="BN16" s="217"/>
      <c r="BO16" s="217"/>
      <c r="BP16" s="217"/>
      <c r="BQ16" s="217"/>
      <c r="BR16" s="217"/>
      <c r="BS16" s="217"/>
      <c r="BT16" s="217"/>
      <c r="BU16" s="217"/>
      <c r="BV16" s="217"/>
      <c r="BW16" s="217"/>
      <c r="BX16" s="217"/>
      <c r="BY16" s="217"/>
      <c r="BZ16" s="217"/>
      <c r="CA16" s="217"/>
      <c r="CB16" s="217"/>
      <c r="CC16" s="217"/>
      <c r="CD16" s="217"/>
      <c r="CE16" s="217"/>
      <c r="CF16" s="217"/>
      <c r="CG16" s="217"/>
      <c r="CH16" s="217"/>
      <c r="CI16" s="217"/>
      <c r="CJ16" s="217"/>
      <c r="CK16" s="217"/>
      <c r="CL16" s="217"/>
      <c r="CM16" s="217"/>
      <c r="CN16" s="217"/>
      <c r="CO16" s="217"/>
      <c r="CP16" s="217"/>
      <c r="CQ16" s="217"/>
      <c r="CR16" s="217"/>
      <c r="CS16" s="217"/>
      <c r="CT16" s="217"/>
      <c r="CU16" s="217"/>
      <c r="CV16" s="217"/>
      <c r="CW16" s="217"/>
      <c r="CX16" s="217"/>
      <c r="CY16" s="217"/>
      <c r="CZ16" s="217"/>
      <c r="DA16" s="217"/>
      <c r="DB16" s="217"/>
      <c r="DC16" s="217"/>
      <c r="DD16" s="217"/>
      <c r="DE16" s="217"/>
      <c r="DF16" s="217"/>
      <c r="DG16" s="217"/>
      <c r="DH16" s="217"/>
      <c r="DI16" s="217"/>
      <c r="DJ16" s="217"/>
      <c r="DK16" s="217"/>
      <c r="DL16" s="217"/>
      <c r="DM16" s="217"/>
      <c r="DN16" s="217"/>
      <c r="DO16" s="217"/>
      <c r="DP16" s="217"/>
      <c r="DQ16" s="217"/>
      <c r="DR16" s="217"/>
      <c r="DS16" s="217"/>
      <c r="DT16" s="217"/>
      <c r="DU16" s="217"/>
      <c r="DV16" s="217"/>
      <c r="DW16" s="217"/>
      <c r="DX16" s="217"/>
      <c r="DY16" s="217"/>
      <c r="DZ16" s="217"/>
      <c r="EA16" s="217"/>
      <c r="EB16" s="217"/>
      <c r="EC16" s="217"/>
      <c r="ED16" s="217"/>
      <c r="EE16" s="217"/>
      <c r="EF16" s="217"/>
      <c r="EG16" s="217"/>
      <c r="EH16" s="217"/>
      <c r="EI16" s="217"/>
      <c r="EJ16" s="217"/>
      <c r="EK16" s="217"/>
      <c r="EL16" s="217"/>
      <c r="EM16" s="217"/>
      <c r="EN16" s="217"/>
      <c r="EO16" s="217"/>
      <c r="EP16" s="217"/>
      <c r="EQ16" s="217"/>
      <c r="ER16" s="217"/>
      <c r="ES16" s="217"/>
      <c r="ET16" s="217"/>
      <c r="EU16" s="217"/>
      <c r="EV16" s="217"/>
      <c r="EW16" s="217"/>
      <c r="EX16" s="217"/>
      <c r="EY16" s="217"/>
      <c r="EZ16" s="217"/>
      <c r="FA16" s="217"/>
      <c r="FB16" s="217"/>
      <c r="FC16" s="217"/>
      <c r="FD16" s="217"/>
      <c r="FE16" s="217"/>
      <c r="FF16" s="217"/>
      <c r="FG16" s="217"/>
      <c r="FH16" s="217"/>
      <c r="FI16" s="217"/>
      <c r="FJ16" s="217"/>
      <c r="FK16" s="217"/>
      <c r="FL16" s="217"/>
      <c r="FM16" s="217"/>
      <c r="FN16" s="217"/>
      <c r="FO16" s="217"/>
      <c r="FP16" s="217"/>
      <c r="FQ16" s="217"/>
      <c r="FR16" s="217"/>
      <c r="FS16" s="217"/>
      <c r="FT16" s="217"/>
      <c r="FU16" s="217"/>
      <c r="FV16" s="217"/>
      <c r="FW16" s="217"/>
      <c r="FX16" s="217"/>
      <c r="FY16" s="217"/>
      <c r="FZ16" s="217"/>
      <c r="GA16" s="217"/>
      <c r="GB16" s="217"/>
      <c r="GC16" s="217"/>
      <c r="GD16" s="217"/>
      <c r="GE16" s="217"/>
      <c r="GF16" s="217"/>
      <c r="GG16" s="217"/>
      <c r="GH16" s="217"/>
      <c r="GI16" s="217"/>
      <c r="GJ16" s="217"/>
      <c r="GK16" s="217"/>
      <c r="GL16" s="217"/>
      <c r="GM16" s="217"/>
      <c r="GN16" s="217"/>
      <c r="GO16" s="217"/>
      <c r="GP16" s="217"/>
      <c r="GQ16" s="217"/>
      <c r="GR16" s="217"/>
      <c r="GS16" s="217"/>
      <c r="GT16" s="217"/>
      <c r="GU16" s="217"/>
      <c r="GV16" s="217"/>
      <c r="GW16" s="217"/>
      <c r="GX16" s="217"/>
      <c r="GY16" s="217"/>
      <c r="GZ16" s="217"/>
      <c r="HA16" s="217"/>
      <c r="HB16" s="217"/>
      <c r="HC16" s="217"/>
      <c r="HD16" s="217"/>
      <c r="HE16" s="217"/>
      <c r="HF16" s="217"/>
      <c r="HG16" s="217"/>
      <c r="HH16" s="217"/>
      <c r="HI16" s="217"/>
      <c r="HJ16" s="217"/>
      <c r="HK16" s="217"/>
      <c r="HL16" s="217"/>
      <c r="HM16" s="217"/>
      <c r="HN16" s="217"/>
      <c r="HO16" s="217"/>
      <c r="HP16" s="217"/>
      <c r="HQ16" s="217"/>
      <c r="HR16" s="217"/>
      <c r="HS16" s="217"/>
      <c r="HT16" s="217"/>
      <c r="HU16" s="217"/>
      <c r="HV16" s="217"/>
      <c r="HW16" s="217"/>
      <c r="HX16" s="217"/>
      <c r="HY16" s="217"/>
      <c r="HZ16" s="217"/>
      <c r="IA16" s="217"/>
      <c r="IB16" s="217"/>
      <c r="IC16" s="217"/>
    </row>
    <row r="17" spans="2:246" s="126" customFormat="1" ht="21.75" customHeight="1">
      <c r="B17" s="125"/>
      <c r="C17" s="215" t="s">
        <v>6</v>
      </c>
      <c r="D17" s="231" t="e">
        <f>RESUMO_Preços!#REF!</f>
        <v>#REF!</v>
      </c>
      <c r="E17" s="233">
        <f>6551.22*1.05</f>
        <v>6878.7810000000009</v>
      </c>
      <c r="F17" s="237">
        <v>8784.11</v>
      </c>
      <c r="G17" s="236">
        <v>7204.95</v>
      </c>
      <c r="H17" s="244">
        <v>8826.0400000000009</v>
      </c>
      <c r="I17" s="238">
        <f>8121.5*1.05</f>
        <v>8527.5750000000007</v>
      </c>
      <c r="J17" s="236">
        <f>9058.01*(1+39.83/100)</f>
        <v>12665.815382999999</v>
      </c>
      <c r="K17" s="236">
        <v>10890.07</v>
      </c>
      <c r="L17" s="221">
        <f>AVERAGE(E17:K17)</f>
        <v>9111.0487690000009</v>
      </c>
      <c r="M17" s="222">
        <f>MEDIAN(E17:K17)</f>
        <v>8784.11</v>
      </c>
      <c r="N17" s="222">
        <f>SMALL(L17:M17,1)</f>
        <v>8784.11</v>
      </c>
      <c r="O17" s="223" t="e">
        <f>D17-N17</f>
        <v>#REF!</v>
      </c>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7"/>
      <c r="BV17" s="217"/>
      <c r="BW17" s="217"/>
      <c r="BX17" s="217"/>
      <c r="BY17" s="217"/>
      <c r="BZ17" s="217"/>
      <c r="CA17" s="217"/>
      <c r="CB17" s="217"/>
      <c r="CC17" s="217"/>
      <c r="CD17" s="217"/>
      <c r="CE17" s="217"/>
      <c r="CF17" s="217"/>
      <c r="CG17" s="217"/>
      <c r="CH17" s="217"/>
      <c r="CI17" s="217"/>
      <c r="CJ17" s="217"/>
      <c r="CK17" s="217"/>
      <c r="CL17" s="217"/>
      <c r="CM17" s="217"/>
      <c r="CN17" s="217"/>
      <c r="CO17" s="217"/>
      <c r="CP17" s="217"/>
      <c r="CQ17" s="217"/>
      <c r="CR17" s="217"/>
      <c r="CS17" s="217"/>
      <c r="CT17" s="217"/>
      <c r="CU17" s="217"/>
      <c r="CV17" s="217"/>
      <c r="CW17" s="217"/>
      <c r="CX17" s="217"/>
      <c r="CY17" s="217"/>
      <c r="CZ17" s="217"/>
      <c r="DA17" s="217"/>
      <c r="DB17" s="217"/>
      <c r="DC17" s="217"/>
      <c r="DD17" s="217"/>
      <c r="DE17" s="217"/>
      <c r="DF17" s="217"/>
      <c r="DG17" s="217"/>
      <c r="DH17" s="217"/>
      <c r="DI17" s="217"/>
      <c r="DJ17" s="217"/>
      <c r="DK17" s="217"/>
      <c r="DL17" s="217"/>
      <c r="DM17" s="217"/>
      <c r="DN17" s="217"/>
      <c r="DO17" s="217"/>
      <c r="DP17" s="217"/>
      <c r="DQ17" s="217"/>
      <c r="DR17" s="217"/>
      <c r="DS17" s="217"/>
      <c r="DT17" s="217"/>
      <c r="DU17" s="217"/>
      <c r="DV17" s="217"/>
      <c r="DW17" s="217"/>
      <c r="DX17" s="217"/>
      <c r="DY17" s="217"/>
      <c r="DZ17" s="217"/>
      <c r="EA17" s="217"/>
      <c r="EB17" s="217"/>
      <c r="EC17" s="217"/>
      <c r="ED17" s="217"/>
      <c r="EE17" s="217"/>
      <c r="EF17" s="217"/>
      <c r="EG17" s="217"/>
      <c r="EH17" s="217"/>
      <c r="EI17" s="217"/>
      <c r="EJ17" s="217"/>
      <c r="EK17" s="217"/>
      <c r="EL17" s="217"/>
      <c r="EM17" s="217"/>
      <c r="EN17" s="217"/>
      <c r="EO17" s="217"/>
      <c r="EP17" s="217"/>
      <c r="EQ17" s="217"/>
      <c r="ER17" s="217"/>
      <c r="ES17" s="217"/>
      <c r="ET17" s="217"/>
      <c r="EU17" s="217"/>
      <c r="EV17" s="217"/>
      <c r="EW17" s="217"/>
      <c r="EX17" s="217"/>
      <c r="EY17" s="217"/>
      <c r="EZ17" s="217"/>
      <c r="FA17" s="217"/>
      <c r="FB17" s="217"/>
      <c r="FC17" s="217"/>
      <c r="FD17" s="217"/>
      <c r="FE17" s="217"/>
      <c r="FF17" s="217"/>
      <c r="FG17" s="217"/>
      <c r="FH17" s="217"/>
      <c r="FI17" s="217"/>
      <c r="FJ17" s="217"/>
      <c r="FK17" s="217"/>
      <c r="FL17" s="217"/>
      <c r="FM17" s="217"/>
      <c r="FN17" s="217"/>
      <c r="FO17" s="217"/>
      <c r="FP17" s="217"/>
      <c r="FQ17" s="217"/>
      <c r="FR17" s="217"/>
      <c r="FS17" s="217"/>
      <c r="FT17" s="217"/>
      <c r="FU17" s="217"/>
      <c r="FV17" s="217"/>
      <c r="FW17" s="217"/>
      <c r="FX17" s="217"/>
      <c r="FY17" s="217"/>
      <c r="FZ17" s="217"/>
      <c r="GA17" s="217"/>
      <c r="GB17" s="217"/>
      <c r="GC17" s="217"/>
      <c r="GD17" s="217"/>
      <c r="GE17" s="217"/>
      <c r="GF17" s="217"/>
      <c r="GG17" s="217"/>
      <c r="GH17" s="217"/>
      <c r="GI17" s="217"/>
      <c r="GJ17" s="217"/>
      <c r="GK17" s="217"/>
      <c r="GL17" s="217"/>
      <c r="GM17" s="217"/>
      <c r="GN17" s="217"/>
      <c r="GO17" s="217"/>
      <c r="GP17" s="217"/>
      <c r="GQ17" s="217"/>
      <c r="GR17" s="217"/>
      <c r="GS17" s="217"/>
      <c r="GT17" s="217"/>
      <c r="GU17" s="217"/>
      <c r="GV17" s="217"/>
      <c r="GW17" s="217"/>
      <c r="GX17" s="217"/>
      <c r="GY17" s="217"/>
      <c r="GZ17" s="217"/>
      <c r="HA17" s="217"/>
      <c r="HB17" s="217"/>
      <c r="HC17" s="217"/>
      <c r="HD17" s="217"/>
      <c r="HE17" s="217"/>
      <c r="HF17" s="217"/>
      <c r="HG17" s="217"/>
      <c r="HH17" s="217"/>
      <c r="HI17" s="217"/>
      <c r="HJ17" s="217"/>
      <c r="HK17" s="217"/>
      <c r="HL17" s="217"/>
      <c r="HM17" s="217"/>
      <c r="HN17" s="217"/>
      <c r="HO17" s="217"/>
      <c r="HP17" s="217"/>
      <c r="HQ17" s="217"/>
      <c r="HR17" s="217"/>
      <c r="HS17" s="217"/>
      <c r="HT17" s="217"/>
      <c r="HU17" s="217"/>
      <c r="HV17" s="217"/>
      <c r="HW17" s="217"/>
      <c r="HX17" s="217"/>
      <c r="HY17" s="217"/>
      <c r="HZ17" s="217"/>
      <c r="IA17" s="217"/>
      <c r="IB17" s="217"/>
      <c r="IC17" s="217"/>
    </row>
    <row r="18" spans="2:246" s="126" customFormat="1" ht="21.75" customHeight="1">
      <c r="B18" s="125"/>
      <c r="C18" s="215" t="s">
        <v>8</v>
      </c>
      <c r="D18" s="231" t="e">
        <f>RESUMO_Preços!#REF!</f>
        <v>#REF!</v>
      </c>
      <c r="E18" s="216"/>
      <c r="F18" s="237">
        <v>6991.1</v>
      </c>
      <c r="G18" s="236">
        <v>5569.57</v>
      </c>
      <c r="H18" s="244">
        <v>7011.45</v>
      </c>
      <c r="I18" s="238">
        <f>6176.16*1.075</f>
        <v>6639.3719999999994</v>
      </c>
      <c r="J18" s="236">
        <f>7684.07*(1+39.83/100)</f>
        <v>10744.635080999999</v>
      </c>
      <c r="K18" s="236">
        <v>8889.02</v>
      </c>
      <c r="L18" s="221">
        <f>AVERAGE(E18:K18)</f>
        <v>7640.8578468333335</v>
      </c>
      <c r="M18" s="222">
        <f>MEDIAN(E18:K18)</f>
        <v>7001.2749999999996</v>
      </c>
      <c r="N18" s="222">
        <f>SMALL(L18:M18,1)</f>
        <v>7001.2749999999996</v>
      </c>
      <c r="O18" s="260" t="e">
        <f>D18-N18</f>
        <v>#REF!</v>
      </c>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7"/>
      <c r="BV18" s="217"/>
      <c r="BW18" s="217"/>
      <c r="BX18" s="217"/>
      <c r="BY18" s="217"/>
      <c r="BZ18" s="217"/>
      <c r="CA18" s="217"/>
      <c r="CB18" s="217"/>
      <c r="CC18" s="217"/>
      <c r="CD18" s="217"/>
      <c r="CE18" s="217"/>
      <c r="CF18" s="217"/>
      <c r="CG18" s="217"/>
      <c r="CH18" s="217"/>
      <c r="CI18" s="217"/>
      <c r="CJ18" s="217"/>
      <c r="CK18" s="217"/>
      <c r="CL18" s="217"/>
      <c r="CM18" s="217"/>
      <c r="CN18" s="217"/>
      <c r="CO18" s="217"/>
      <c r="CP18" s="217"/>
      <c r="CQ18" s="217"/>
      <c r="CR18" s="217"/>
      <c r="CS18" s="217"/>
      <c r="CT18" s="217"/>
      <c r="CU18" s="217"/>
      <c r="CV18" s="217"/>
      <c r="CW18" s="217"/>
      <c r="CX18" s="217"/>
      <c r="CY18" s="217"/>
      <c r="CZ18" s="217"/>
      <c r="DA18" s="217"/>
      <c r="DB18" s="217"/>
      <c r="DC18" s="217"/>
      <c r="DD18" s="217"/>
      <c r="DE18" s="217"/>
      <c r="DF18" s="217"/>
      <c r="DG18" s="217"/>
      <c r="DH18" s="217"/>
      <c r="DI18" s="217"/>
      <c r="DJ18" s="217"/>
      <c r="DK18" s="217"/>
      <c r="DL18" s="217"/>
      <c r="DM18" s="217"/>
      <c r="DN18" s="217"/>
      <c r="DO18" s="217"/>
      <c r="DP18" s="217"/>
      <c r="DQ18" s="217"/>
      <c r="DR18" s="217"/>
      <c r="DS18" s="217"/>
      <c r="DT18" s="217"/>
      <c r="DU18" s="217"/>
      <c r="DV18" s="217"/>
      <c r="DW18" s="217"/>
      <c r="DX18" s="217"/>
      <c r="DY18" s="217"/>
      <c r="DZ18" s="217"/>
      <c r="EA18" s="217"/>
      <c r="EB18" s="217"/>
      <c r="EC18" s="217"/>
      <c r="ED18" s="217"/>
      <c r="EE18" s="217"/>
      <c r="EF18" s="217"/>
      <c r="EG18" s="217"/>
      <c r="EH18" s="217"/>
      <c r="EI18" s="217"/>
      <c r="EJ18" s="217"/>
      <c r="EK18" s="217"/>
      <c r="EL18" s="217"/>
      <c r="EM18" s="217"/>
      <c r="EN18" s="217"/>
      <c r="EO18" s="217"/>
      <c r="EP18" s="217"/>
      <c r="EQ18" s="217"/>
      <c r="ER18" s="217"/>
      <c r="ES18" s="217"/>
      <c r="ET18" s="217"/>
      <c r="EU18" s="217"/>
      <c r="EV18" s="217"/>
      <c r="EW18" s="217"/>
      <c r="EX18" s="217"/>
      <c r="EY18" s="217"/>
      <c r="EZ18" s="217"/>
      <c r="FA18" s="217"/>
      <c r="FB18" s="217"/>
      <c r="FC18" s="217"/>
      <c r="FD18" s="217"/>
      <c r="FE18" s="217"/>
      <c r="FF18" s="217"/>
      <c r="FG18" s="217"/>
      <c r="FH18" s="217"/>
      <c r="FI18" s="217"/>
      <c r="FJ18" s="217"/>
      <c r="FK18" s="217"/>
      <c r="FL18" s="217"/>
      <c r="FM18" s="217"/>
      <c r="FN18" s="217"/>
      <c r="FO18" s="217"/>
      <c r="FP18" s="217"/>
      <c r="FQ18" s="217"/>
      <c r="FR18" s="217"/>
      <c r="FS18" s="217"/>
      <c r="FT18" s="217"/>
      <c r="FU18" s="217"/>
      <c r="FV18" s="217"/>
      <c r="FW18" s="217"/>
      <c r="FX18" s="217"/>
      <c r="FY18" s="217"/>
      <c r="FZ18" s="217"/>
      <c r="GA18" s="217"/>
      <c r="GB18" s="217"/>
      <c r="GC18" s="217"/>
      <c r="GD18" s="217"/>
      <c r="GE18" s="217"/>
      <c r="GF18" s="217"/>
      <c r="GG18" s="217"/>
      <c r="GH18" s="217"/>
      <c r="GI18" s="217"/>
      <c r="GJ18" s="217"/>
      <c r="GK18" s="217"/>
      <c r="GL18" s="217"/>
      <c r="GM18" s="217"/>
      <c r="GN18" s="217"/>
      <c r="GO18" s="217"/>
      <c r="GP18" s="217"/>
      <c r="GQ18" s="217"/>
      <c r="GR18" s="217"/>
      <c r="GS18" s="217"/>
      <c r="GT18" s="217"/>
      <c r="GU18" s="217"/>
      <c r="GV18" s="217"/>
      <c r="GW18" s="217"/>
      <c r="GX18" s="217"/>
      <c r="GY18" s="217"/>
      <c r="GZ18" s="217"/>
      <c r="HA18" s="217"/>
      <c r="HB18" s="217"/>
      <c r="HC18" s="217"/>
      <c r="HD18" s="217"/>
      <c r="HE18" s="217"/>
      <c r="HF18" s="217"/>
      <c r="HG18" s="217"/>
      <c r="HH18" s="217"/>
      <c r="HI18" s="217"/>
      <c r="HJ18" s="217"/>
      <c r="HK18" s="217"/>
      <c r="HL18" s="217"/>
      <c r="HM18" s="217"/>
      <c r="HN18" s="217"/>
      <c r="HO18" s="217"/>
      <c r="HP18" s="217"/>
      <c r="HQ18" s="217"/>
      <c r="HR18" s="217"/>
      <c r="HS18" s="217"/>
      <c r="HT18" s="217"/>
      <c r="HU18" s="217"/>
      <c r="HV18" s="217"/>
      <c r="HW18" s="217"/>
      <c r="HX18" s="217"/>
      <c r="HY18" s="217"/>
      <c r="HZ18" s="217"/>
      <c r="IA18" s="217"/>
      <c r="IB18" s="217"/>
      <c r="IC18" s="217"/>
    </row>
    <row r="19" spans="2:246" s="126" customFormat="1">
      <c r="B19" s="125"/>
      <c r="C19" s="217"/>
      <c r="D19" s="218"/>
      <c r="E19" s="217"/>
      <c r="F19" s="217"/>
      <c r="G19" s="217"/>
      <c r="H19" s="217"/>
      <c r="I19" s="217"/>
      <c r="J19" s="217"/>
      <c r="K19" s="217"/>
      <c r="L19" s="217"/>
      <c r="M19" s="217"/>
      <c r="N19" s="217"/>
      <c r="O19" s="217"/>
      <c r="P19" s="217"/>
      <c r="Q19" s="217"/>
      <c r="R19" s="217"/>
      <c r="S19" s="217"/>
      <c r="T19" s="217"/>
      <c r="U19" s="217"/>
      <c r="V19" s="217"/>
      <c r="W19" s="218"/>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17"/>
      <c r="BF19" s="217"/>
      <c r="BG19" s="217"/>
      <c r="BH19" s="217"/>
      <c r="BI19" s="217"/>
      <c r="BJ19" s="217"/>
      <c r="BK19" s="217"/>
      <c r="BL19" s="217"/>
      <c r="BM19" s="217"/>
      <c r="BN19" s="217"/>
      <c r="BO19" s="217"/>
      <c r="BP19" s="217"/>
      <c r="BQ19" s="217"/>
      <c r="BR19" s="217"/>
      <c r="BS19" s="217"/>
      <c r="BT19" s="217"/>
      <c r="BU19" s="217"/>
      <c r="BV19" s="217"/>
      <c r="BW19" s="217"/>
      <c r="BX19" s="217"/>
      <c r="BY19" s="217"/>
      <c r="BZ19" s="217"/>
      <c r="CA19" s="217"/>
      <c r="CB19" s="217"/>
      <c r="CC19" s="217"/>
      <c r="CD19" s="217"/>
      <c r="CE19" s="217"/>
      <c r="CF19" s="217"/>
      <c r="CG19" s="217"/>
      <c r="CH19" s="217"/>
      <c r="CI19" s="217"/>
      <c r="CJ19" s="217"/>
      <c r="CK19" s="217"/>
      <c r="CL19" s="217"/>
      <c r="CM19" s="217"/>
      <c r="CN19" s="217"/>
      <c r="CO19" s="217"/>
      <c r="CP19" s="217"/>
      <c r="CQ19" s="217"/>
      <c r="CR19" s="217"/>
      <c r="CS19" s="217"/>
      <c r="CT19" s="217"/>
      <c r="CU19" s="217"/>
      <c r="CV19" s="217"/>
      <c r="CW19" s="217"/>
      <c r="CX19" s="217"/>
      <c r="CY19" s="217"/>
      <c r="CZ19" s="217"/>
      <c r="DA19" s="217"/>
      <c r="DB19" s="217"/>
      <c r="DC19" s="217"/>
      <c r="DD19" s="217"/>
      <c r="DE19" s="217"/>
      <c r="DF19" s="217"/>
      <c r="DG19" s="217"/>
      <c r="DH19" s="217"/>
      <c r="DI19" s="217"/>
      <c r="DJ19" s="217"/>
      <c r="DK19" s="217"/>
      <c r="DL19" s="217"/>
      <c r="DM19" s="217"/>
      <c r="DN19" s="217"/>
      <c r="DO19" s="217"/>
      <c r="DP19" s="217"/>
      <c r="DQ19" s="217"/>
      <c r="DR19" s="217"/>
      <c r="DS19" s="217"/>
      <c r="DT19" s="217"/>
      <c r="DU19" s="217"/>
      <c r="DV19" s="217"/>
      <c r="DW19" s="217"/>
      <c r="DX19" s="217"/>
      <c r="DY19" s="217"/>
      <c r="DZ19" s="217"/>
      <c r="EA19" s="217"/>
      <c r="EB19" s="217"/>
      <c r="EC19" s="217"/>
      <c r="ED19" s="217"/>
      <c r="EE19" s="217"/>
      <c r="EF19" s="217"/>
      <c r="EG19" s="217"/>
      <c r="EH19" s="217"/>
      <c r="EI19" s="217"/>
      <c r="EJ19" s="217"/>
      <c r="EK19" s="217"/>
      <c r="EL19" s="217"/>
      <c r="EM19" s="217"/>
      <c r="EN19" s="217"/>
      <c r="EO19" s="217"/>
      <c r="EP19" s="217"/>
      <c r="EQ19" s="217"/>
      <c r="ER19" s="217"/>
      <c r="ES19" s="217"/>
      <c r="ET19" s="217"/>
      <c r="EU19" s="217"/>
      <c r="EV19" s="217"/>
      <c r="EW19" s="217"/>
      <c r="EX19" s="217"/>
      <c r="EY19" s="217"/>
      <c r="EZ19" s="217"/>
      <c r="FA19" s="217"/>
      <c r="FB19" s="217"/>
      <c r="FC19" s="217"/>
      <c r="FD19" s="217"/>
      <c r="FE19" s="217"/>
      <c r="FF19" s="217"/>
      <c r="FG19" s="217"/>
      <c r="FH19" s="217"/>
      <c r="FI19" s="217"/>
      <c r="FJ19" s="217"/>
      <c r="FK19" s="217"/>
      <c r="FL19" s="217"/>
      <c r="FM19" s="217"/>
      <c r="FN19" s="217"/>
      <c r="FO19" s="217"/>
      <c r="FP19" s="217"/>
      <c r="FQ19" s="217"/>
      <c r="FR19" s="217"/>
      <c r="FS19" s="217"/>
      <c r="FT19" s="217"/>
      <c r="FU19" s="217"/>
      <c r="FV19" s="217"/>
      <c r="FW19" s="217"/>
      <c r="FX19" s="217"/>
      <c r="FY19" s="217"/>
      <c r="FZ19" s="217"/>
      <c r="GA19" s="217"/>
      <c r="GB19" s="217"/>
      <c r="GC19" s="217"/>
      <c r="GD19" s="217"/>
      <c r="GE19" s="217"/>
      <c r="GF19" s="217"/>
      <c r="GG19" s="217"/>
      <c r="GH19" s="217"/>
      <c r="GI19" s="217"/>
      <c r="GJ19" s="217"/>
      <c r="GK19" s="217"/>
      <c r="GL19" s="217"/>
      <c r="GM19" s="217"/>
      <c r="GN19" s="217"/>
      <c r="GO19" s="217"/>
      <c r="GP19" s="217"/>
      <c r="GQ19" s="217"/>
      <c r="GR19" s="217"/>
      <c r="GS19" s="217"/>
      <c r="GT19" s="217"/>
      <c r="GU19" s="217"/>
      <c r="GV19" s="217"/>
      <c r="GW19" s="217"/>
      <c r="GX19" s="217"/>
      <c r="GY19" s="217"/>
      <c r="GZ19" s="217"/>
      <c r="HA19" s="217"/>
      <c r="HB19" s="217"/>
      <c r="HC19" s="217"/>
      <c r="HD19" s="217"/>
      <c r="HE19" s="217"/>
      <c r="HF19" s="217"/>
      <c r="HG19" s="217"/>
      <c r="HH19" s="217"/>
      <c r="HI19" s="217"/>
      <c r="HJ19" s="217"/>
      <c r="HK19" s="217"/>
      <c r="HL19" s="217"/>
      <c r="HM19" s="217"/>
      <c r="HN19" s="217"/>
      <c r="HO19" s="217"/>
      <c r="HP19" s="217"/>
      <c r="HQ19" s="217"/>
      <c r="HR19" s="217"/>
      <c r="HS19" s="217"/>
      <c r="HT19" s="217"/>
      <c r="HU19" s="217"/>
      <c r="HV19" s="217"/>
      <c r="HW19" s="217"/>
      <c r="HX19" s="217"/>
      <c r="HY19" s="217"/>
      <c r="HZ19" s="217"/>
      <c r="IA19" s="217"/>
      <c r="IB19" s="217"/>
      <c r="IC19" s="217"/>
      <c r="ID19" s="217"/>
      <c r="IE19" s="217"/>
      <c r="IF19" s="217"/>
      <c r="IG19" s="217"/>
      <c r="IH19" s="217"/>
      <c r="II19" s="217"/>
      <c r="IJ19" s="217"/>
      <c r="IK19" s="217"/>
      <c r="IL19" s="217"/>
    </row>
    <row r="20" spans="2:246" s="126" customFormat="1">
      <c r="B20" s="125"/>
      <c r="C20" s="156" t="s">
        <v>184</v>
      </c>
      <c r="D20" s="157"/>
      <c r="E20" s="158"/>
      <c r="F20" s="158"/>
      <c r="G20" s="158"/>
      <c r="H20" s="158"/>
      <c r="I20" s="158"/>
      <c r="J20" s="158"/>
      <c r="K20" s="158"/>
      <c r="L20" s="158"/>
      <c r="M20" s="158"/>
      <c r="N20" s="158"/>
      <c r="O20" s="158"/>
      <c r="P20" s="158"/>
      <c r="Q20" s="158"/>
      <c r="R20" s="158"/>
      <c r="S20" s="158"/>
      <c r="T20" s="158"/>
      <c r="U20" s="158"/>
      <c r="V20" s="158"/>
      <c r="W20" s="158"/>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7"/>
      <c r="BH20" s="217"/>
      <c r="BI20" s="217"/>
      <c r="BJ20" s="217"/>
      <c r="BK20" s="217"/>
      <c r="BL20" s="217"/>
      <c r="BM20" s="217"/>
      <c r="BN20" s="217"/>
      <c r="BO20" s="217"/>
      <c r="BP20" s="217"/>
      <c r="BQ20" s="217"/>
      <c r="BR20" s="217"/>
      <c r="BS20" s="217"/>
      <c r="BT20" s="217"/>
      <c r="BU20" s="217"/>
      <c r="BV20" s="217"/>
      <c r="BW20" s="217"/>
      <c r="BX20" s="217"/>
      <c r="BY20" s="217"/>
      <c r="BZ20" s="217"/>
      <c r="CA20" s="217"/>
      <c r="CB20" s="217"/>
      <c r="CC20" s="217"/>
      <c r="CD20" s="217"/>
      <c r="CE20" s="217"/>
      <c r="CF20" s="217"/>
      <c r="CG20" s="217"/>
      <c r="CH20" s="217"/>
      <c r="CI20" s="217"/>
      <c r="CJ20" s="217"/>
      <c r="CK20" s="217"/>
      <c r="CL20" s="217"/>
      <c r="CM20" s="217"/>
      <c r="CN20" s="217"/>
      <c r="CO20" s="217"/>
      <c r="CP20" s="217"/>
      <c r="CQ20" s="217"/>
      <c r="CR20" s="217"/>
      <c r="CS20" s="217"/>
      <c r="CT20" s="217"/>
      <c r="CU20" s="217"/>
      <c r="CV20" s="217"/>
      <c r="CW20" s="217"/>
      <c r="CX20" s="217"/>
      <c r="CY20" s="217"/>
      <c r="CZ20" s="217"/>
      <c r="DA20" s="217"/>
      <c r="DB20" s="217"/>
      <c r="DC20" s="217"/>
      <c r="DD20" s="217"/>
      <c r="DE20" s="217"/>
      <c r="DF20" s="217"/>
      <c r="DG20" s="217"/>
      <c r="DH20" s="217"/>
      <c r="DI20" s="217"/>
      <c r="DJ20" s="217"/>
      <c r="DK20" s="217"/>
      <c r="DL20" s="217"/>
      <c r="DM20" s="217"/>
      <c r="DN20" s="217"/>
      <c r="DO20" s="217"/>
      <c r="DP20" s="217"/>
      <c r="DQ20" s="217"/>
      <c r="DR20" s="217"/>
      <c r="DS20" s="217"/>
      <c r="DT20" s="217"/>
      <c r="DU20" s="217"/>
      <c r="DV20" s="217"/>
      <c r="DW20" s="217"/>
      <c r="DX20" s="217"/>
      <c r="DY20" s="217"/>
      <c r="DZ20" s="217"/>
      <c r="EA20" s="217"/>
      <c r="EB20" s="217"/>
      <c r="EC20" s="217"/>
      <c r="ED20" s="217"/>
      <c r="EE20" s="217"/>
      <c r="EF20" s="217"/>
      <c r="EG20" s="217"/>
      <c r="EH20" s="217"/>
      <c r="EI20" s="217"/>
      <c r="EJ20" s="217"/>
      <c r="EK20" s="217"/>
      <c r="EL20" s="217"/>
      <c r="EM20" s="217"/>
      <c r="EN20" s="217"/>
      <c r="EO20" s="217"/>
      <c r="EP20" s="217"/>
      <c r="EQ20" s="217"/>
      <c r="ER20" s="217"/>
      <c r="ES20" s="217"/>
      <c r="ET20" s="217"/>
      <c r="EU20" s="217"/>
      <c r="EV20" s="217"/>
      <c r="EW20" s="217"/>
      <c r="EX20" s="217"/>
      <c r="EY20" s="217"/>
      <c r="EZ20" s="217"/>
      <c r="FA20" s="217"/>
      <c r="FB20" s="217"/>
      <c r="FC20" s="217"/>
      <c r="FD20" s="217"/>
      <c r="FE20" s="217"/>
      <c r="FF20" s="217"/>
      <c r="FG20" s="217"/>
      <c r="FH20" s="217"/>
      <c r="FI20" s="217"/>
      <c r="FJ20" s="217"/>
      <c r="FK20" s="217"/>
      <c r="FL20" s="217"/>
      <c r="FM20" s="217"/>
      <c r="FN20" s="217"/>
      <c r="FO20" s="217"/>
      <c r="FP20" s="217"/>
      <c r="FQ20" s="217"/>
      <c r="FR20" s="217"/>
      <c r="FS20" s="217"/>
      <c r="FT20" s="217"/>
      <c r="FU20" s="217"/>
      <c r="FV20" s="217"/>
      <c r="FW20" s="217"/>
      <c r="FX20" s="217"/>
      <c r="FY20" s="217"/>
      <c r="FZ20" s="217"/>
      <c r="GA20" s="217"/>
      <c r="GB20" s="217"/>
      <c r="GC20" s="217"/>
      <c r="GD20" s="217"/>
      <c r="GE20" s="217"/>
      <c r="GF20" s="217"/>
      <c r="GG20" s="217"/>
      <c r="GH20" s="217"/>
      <c r="GI20" s="217"/>
      <c r="GJ20" s="217"/>
      <c r="GK20" s="217"/>
      <c r="GL20" s="217"/>
      <c r="GM20" s="217"/>
      <c r="GN20" s="217"/>
      <c r="GO20" s="217"/>
      <c r="GP20" s="217"/>
      <c r="GQ20" s="217"/>
      <c r="GR20" s="217"/>
      <c r="GS20" s="217"/>
      <c r="GT20" s="217"/>
      <c r="GU20" s="217"/>
      <c r="GV20" s="217"/>
      <c r="GW20" s="217"/>
      <c r="GX20" s="217"/>
      <c r="GY20" s="217"/>
      <c r="GZ20" s="217"/>
      <c r="HA20" s="217"/>
      <c r="HB20" s="217"/>
      <c r="HC20" s="217"/>
      <c r="HD20" s="217"/>
      <c r="HE20" s="217"/>
      <c r="HF20" s="217"/>
      <c r="HG20" s="217"/>
      <c r="HH20" s="217"/>
      <c r="HI20" s="217"/>
      <c r="HJ20" s="217"/>
      <c r="HK20" s="217"/>
      <c r="HL20" s="217"/>
      <c r="HM20" s="217"/>
      <c r="HN20" s="217"/>
      <c r="HO20" s="217"/>
      <c r="HP20" s="217"/>
      <c r="HQ20" s="217"/>
      <c r="HR20" s="217"/>
      <c r="HS20" s="217"/>
      <c r="HT20" s="217"/>
      <c r="HU20" s="217"/>
      <c r="HV20" s="217"/>
      <c r="HW20" s="217"/>
      <c r="HX20" s="217"/>
      <c r="HY20" s="217"/>
      <c r="HZ20" s="217"/>
      <c r="IA20" s="217"/>
      <c r="IB20" s="217"/>
      <c r="IC20" s="217"/>
      <c r="ID20" s="217"/>
      <c r="IE20" s="217"/>
      <c r="IF20" s="217"/>
      <c r="IG20" s="217"/>
      <c r="IH20" s="217"/>
      <c r="II20" s="217"/>
      <c r="IJ20" s="217"/>
      <c r="IK20" s="217"/>
      <c r="IL20" s="217"/>
    </row>
    <row r="21" spans="2:246" s="126" customFormat="1" ht="78" customHeight="1">
      <c r="B21" s="125"/>
      <c r="C21" s="124">
        <v>1</v>
      </c>
      <c r="D21" s="990" t="s">
        <v>442</v>
      </c>
      <c r="E21" s="991"/>
      <c r="F21" s="991"/>
      <c r="G21" s="991"/>
      <c r="H21" s="991"/>
      <c r="I21" s="991"/>
      <c r="J21" s="991"/>
      <c r="K21" s="991"/>
      <c r="L21" s="991"/>
      <c r="M21" s="991"/>
      <c r="N21" s="991"/>
      <c r="O21" s="992"/>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c r="BX21" s="217"/>
      <c r="BY21" s="217"/>
      <c r="BZ21" s="217"/>
      <c r="CA21" s="217"/>
      <c r="CB21" s="217"/>
      <c r="CC21" s="217"/>
      <c r="CD21" s="217"/>
      <c r="CE21" s="217"/>
      <c r="CF21" s="217"/>
      <c r="CG21" s="217"/>
      <c r="CH21" s="217"/>
      <c r="CI21" s="217"/>
      <c r="CJ21" s="217"/>
      <c r="CK21" s="217"/>
      <c r="CL21" s="217"/>
      <c r="CM21" s="217"/>
      <c r="CN21" s="217"/>
      <c r="CO21" s="217"/>
      <c r="CP21" s="217"/>
      <c r="CQ21" s="217"/>
      <c r="CR21" s="217"/>
      <c r="CS21" s="217"/>
      <c r="CT21" s="217"/>
      <c r="CU21" s="217"/>
      <c r="CV21" s="217"/>
      <c r="CW21" s="217"/>
      <c r="CX21" s="217"/>
      <c r="CY21" s="217"/>
      <c r="CZ21" s="217"/>
      <c r="DA21" s="217"/>
      <c r="DB21" s="217"/>
      <c r="DC21" s="217"/>
      <c r="DD21" s="217"/>
      <c r="DE21" s="217"/>
      <c r="DF21" s="217"/>
      <c r="DG21" s="217"/>
      <c r="DH21" s="217"/>
      <c r="DI21" s="217"/>
      <c r="DJ21" s="217"/>
      <c r="DK21" s="217"/>
      <c r="DL21" s="217"/>
      <c r="DM21" s="217"/>
      <c r="DN21" s="217"/>
      <c r="DO21" s="217"/>
      <c r="DP21" s="217"/>
      <c r="DQ21" s="217"/>
      <c r="DR21" s="217"/>
      <c r="DS21" s="217"/>
      <c r="DT21" s="217"/>
      <c r="DU21" s="217"/>
      <c r="DV21" s="217"/>
      <c r="DW21" s="217"/>
      <c r="DX21" s="217"/>
      <c r="DY21" s="217"/>
      <c r="DZ21" s="217"/>
      <c r="EA21" s="217"/>
      <c r="EB21" s="217"/>
      <c r="EC21" s="217"/>
      <c r="ED21" s="217"/>
      <c r="EE21" s="217"/>
      <c r="EF21" s="217"/>
      <c r="EG21" s="217"/>
      <c r="EH21" s="217"/>
      <c r="EI21" s="217"/>
      <c r="EJ21" s="217"/>
      <c r="EK21" s="217"/>
      <c r="EL21" s="217"/>
      <c r="EM21" s="217"/>
      <c r="EN21" s="217"/>
      <c r="EO21" s="217"/>
      <c r="EP21" s="217"/>
      <c r="EQ21" s="217"/>
      <c r="ER21" s="217"/>
      <c r="ES21" s="217"/>
      <c r="ET21" s="217"/>
      <c r="EU21" s="217"/>
      <c r="EV21" s="217"/>
      <c r="EW21" s="217"/>
      <c r="EX21" s="217"/>
      <c r="EY21" s="217"/>
      <c r="EZ21" s="217"/>
      <c r="FA21" s="217"/>
      <c r="FB21" s="217"/>
      <c r="FC21" s="217"/>
      <c r="FD21" s="217"/>
      <c r="FE21" s="217"/>
      <c r="FF21" s="217"/>
      <c r="FG21" s="217"/>
      <c r="FH21" s="217"/>
      <c r="FI21" s="217"/>
      <c r="FJ21" s="217"/>
      <c r="FK21" s="217"/>
      <c r="FL21" s="217"/>
      <c r="FM21" s="217"/>
      <c r="FN21" s="217"/>
      <c r="FO21" s="217"/>
      <c r="FP21" s="217"/>
      <c r="FQ21" s="217"/>
      <c r="FR21" s="217"/>
      <c r="FS21" s="217"/>
      <c r="FT21" s="217"/>
      <c r="FU21" s="217"/>
      <c r="FV21" s="217"/>
      <c r="FW21" s="217"/>
      <c r="FX21" s="217"/>
      <c r="FY21" s="217"/>
      <c r="FZ21" s="217"/>
      <c r="GA21" s="217"/>
      <c r="GB21" s="217"/>
      <c r="GC21" s="217"/>
      <c r="GD21" s="217"/>
      <c r="GE21" s="217"/>
      <c r="GF21" s="217"/>
      <c r="GG21" s="217"/>
      <c r="GH21" s="217"/>
      <c r="GI21" s="217"/>
      <c r="GJ21" s="217"/>
      <c r="GK21" s="217"/>
      <c r="GL21" s="217"/>
      <c r="GM21" s="217"/>
      <c r="GN21" s="217"/>
      <c r="GO21" s="217"/>
      <c r="GP21" s="217"/>
      <c r="GQ21" s="217"/>
      <c r="GR21" s="217"/>
      <c r="GS21" s="217"/>
      <c r="GT21" s="217"/>
      <c r="GU21" s="217"/>
      <c r="GV21" s="217"/>
      <c r="GW21" s="217"/>
      <c r="GX21" s="217"/>
      <c r="GY21" s="217"/>
      <c r="GZ21" s="217"/>
      <c r="HA21" s="217"/>
      <c r="HB21" s="217"/>
      <c r="HC21" s="217"/>
      <c r="HD21" s="217"/>
      <c r="HE21" s="217"/>
      <c r="HF21" s="217"/>
      <c r="HG21" s="217"/>
      <c r="HH21" s="217"/>
      <c r="HI21" s="217"/>
      <c r="HJ21" s="217"/>
      <c r="HK21" s="217"/>
      <c r="HL21" s="217"/>
      <c r="HM21" s="217"/>
      <c r="HN21" s="217"/>
      <c r="HO21" s="217"/>
      <c r="HP21" s="217"/>
      <c r="HQ21" s="217"/>
    </row>
    <row r="22" spans="2:246" s="126" customFormat="1" ht="23.25" customHeight="1">
      <c r="B22" s="125"/>
      <c r="C22" s="124">
        <f>C21+1</f>
        <v>2</v>
      </c>
      <c r="D22" s="990" t="s">
        <v>415</v>
      </c>
      <c r="E22" s="991"/>
      <c r="F22" s="991"/>
      <c r="G22" s="991"/>
      <c r="H22" s="991"/>
      <c r="I22" s="991"/>
      <c r="J22" s="991"/>
      <c r="K22" s="991"/>
      <c r="L22" s="991"/>
      <c r="M22" s="991"/>
      <c r="N22" s="991"/>
      <c r="O22" s="992"/>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c r="BE22" s="217"/>
      <c r="BF22" s="217"/>
      <c r="BG22" s="217"/>
      <c r="BH22" s="217"/>
      <c r="BI22" s="217"/>
      <c r="BJ22" s="217"/>
      <c r="BK22" s="217"/>
      <c r="BL22" s="217"/>
      <c r="BM22" s="217"/>
      <c r="BN22" s="217"/>
      <c r="BO22" s="217"/>
      <c r="BP22" s="217"/>
      <c r="BQ22" s="217"/>
      <c r="BR22" s="217"/>
      <c r="BS22" s="217"/>
      <c r="BT22" s="217"/>
      <c r="BU22" s="217"/>
      <c r="BV22" s="217"/>
      <c r="BW22" s="217"/>
      <c r="BX22" s="217"/>
      <c r="BY22" s="217"/>
      <c r="BZ22" s="217"/>
      <c r="CA22" s="217"/>
      <c r="CB22" s="217"/>
      <c r="CC22" s="217"/>
      <c r="CD22" s="217"/>
      <c r="CE22" s="217"/>
      <c r="CF22" s="217"/>
      <c r="CG22" s="217"/>
      <c r="CH22" s="217"/>
      <c r="CI22" s="217"/>
      <c r="CJ22" s="217"/>
      <c r="CK22" s="217"/>
      <c r="CL22" s="217"/>
      <c r="CM22" s="217"/>
      <c r="CN22" s="217"/>
      <c r="CO22" s="217"/>
      <c r="CP22" s="217"/>
      <c r="CQ22" s="217"/>
      <c r="CR22" s="217"/>
      <c r="CS22" s="217"/>
      <c r="CT22" s="217"/>
      <c r="CU22" s="217"/>
      <c r="CV22" s="217"/>
      <c r="CW22" s="217"/>
      <c r="CX22" s="217"/>
      <c r="CY22" s="217"/>
      <c r="CZ22" s="217"/>
      <c r="DA22" s="217"/>
      <c r="DB22" s="217"/>
      <c r="DC22" s="217"/>
      <c r="DD22" s="217"/>
      <c r="DE22" s="217"/>
      <c r="DF22" s="217"/>
      <c r="DG22" s="217"/>
      <c r="DH22" s="217"/>
      <c r="DI22" s="217"/>
      <c r="DJ22" s="217"/>
      <c r="DK22" s="217"/>
      <c r="DL22" s="217"/>
      <c r="DM22" s="217"/>
      <c r="DN22" s="217"/>
      <c r="DO22" s="217"/>
      <c r="DP22" s="217"/>
      <c r="DQ22" s="217"/>
      <c r="DR22" s="217"/>
      <c r="DS22" s="217"/>
      <c r="DT22" s="217"/>
      <c r="DU22" s="217"/>
      <c r="DV22" s="217"/>
      <c r="DW22" s="217"/>
      <c r="DX22" s="217"/>
      <c r="DY22" s="217"/>
      <c r="DZ22" s="217"/>
      <c r="EA22" s="217"/>
      <c r="EB22" s="217"/>
      <c r="EC22" s="217"/>
      <c r="ED22" s="217"/>
      <c r="EE22" s="217"/>
      <c r="EF22" s="217"/>
      <c r="EG22" s="217"/>
      <c r="EH22" s="217"/>
      <c r="EI22" s="217"/>
      <c r="EJ22" s="217"/>
      <c r="EK22" s="217"/>
      <c r="EL22" s="217"/>
      <c r="EM22" s="217"/>
      <c r="EN22" s="217"/>
      <c r="EO22" s="217"/>
      <c r="EP22" s="217"/>
      <c r="EQ22" s="217"/>
      <c r="ER22" s="217"/>
      <c r="ES22" s="217"/>
      <c r="ET22" s="217"/>
      <c r="EU22" s="217"/>
      <c r="EV22" s="217"/>
      <c r="EW22" s="217"/>
      <c r="EX22" s="217"/>
      <c r="EY22" s="217"/>
      <c r="EZ22" s="217"/>
      <c r="FA22" s="217"/>
      <c r="FB22" s="217"/>
      <c r="FC22" s="217"/>
      <c r="FD22" s="217"/>
      <c r="FE22" s="217"/>
      <c r="FF22" s="217"/>
      <c r="FG22" s="217"/>
      <c r="FH22" s="217"/>
      <c r="FI22" s="217"/>
      <c r="FJ22" s="217"/>
      <c r="FK22" s="217"/>
      <c r="FL22" s="217"/>
      <c r="FM22" s="217"/>
      <c r="FN22" s="217"/>
      <c r="FO22" s="217"/>
      <c r="FP22" s="217"/>
      <c r="FQ22" s="217"/>
      <c r="FR22" s="217"/>
      <c r="FS22" s="217"/>
      <c r="FT22" s="217"/>
      <c r="FU22" s="217"/>
      <c r="FV22" s="217"/>
      <c r="FW22" s="217"/>
      <c r="FX22" s="217"/>
      <c r="FY22" s="217"/>
      <c r="FZ22" s="217"/>
      <c r="GA22" s="217"/>
      <c r="GB22" s="217"/>
      <c r="GC22" s="217"/>
      <c r="GD22" s="217"/>
      <c r="GE22" s="217"/>
      <c r="GF22" s="217"/>
      <c r="GG22" s="217"/>
      <c r="GH22" s="217"/>
      <c r="GI22" s="217"/>
      <c r="GJ22" s="217"/>
      <c r="GK22" s="217"/>
      <c r="GL22" s="217"/>
      <c r="GM22" s="217"/>
      <c r="GN22" s="217"/>
      <c r="GO22" s="217"/>
      <c r="GP22" s="217"/>
      <c r="GQ22" s="217"/>
      <c r="GR22" s="217"/>
      <c r="GS22" s="217"/>
      <c r="GT22" s="217"/>
      <c r="GU22" s="217"/>
      <c r="GV22" s="217"/>
      <c r="GW22" s="217"/>
      <c r="GX22" s="217"/>
      <c r="GY22" s="217"/>
      <c r="GZ22" s="217"/>
      <c r="HA22" s="217"/>
      <c r="HB22" s="217"/>
      <c r="HC22" s="217"/>
      <c r="HD22" s="217"/>
      <c r="HE22" s="217"/>
      <c r="HF22" s="217"/>
      <c r="HG22" s="217"/>
      <c r="HH22" s="217"/>
      <c r="HI22" s="217"/>
      <c r="HJ22" s="217"/>
      <c r="HK22" s="217"/>
      <c r="HL22" s="217"/>
      <c r="HM22" s="217"/>
      <c r="HN22" s="217"/>
      <c r="HO22" s="217"/>
      <c r="HP22" s="217"/>
      <c r="HQ22" s="217"/>
    </row>
    <row r="23" spans="2:246" s="126" customFormat="1" ht="23.25" customHeight="1">
      <c r="B23" s="125"/>
      <c r="C23" s="124">
        <v>3</v>
      </c>
      <c r="D23" s="990" t="s">
        <v>443</v>
      </c>
      <c r="E23" s="991"/>
      <c r="F23" s="991"/>
      <c r="G23" s="991"/>
      <c r="H23" s="991"/>
      <c r="I23" s="991"/>
      <c r="J23" s="991"/>
      <c r="K23" s="991"/>
      <c r="L23" s="991"/>
      <c r="M23" s="991"/>
      <c r="N23" s="991"/>
      <c r="O23" s="992"/>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c r="BE23" s="217"/>
      <c r="BF23" s="217"/>
      <c r="BG23" s="217"/>
      <c r="BH23" s="217"/>
      <c r="BI23" s="217"/>
      <c r="BJ23" s="217"/>
      <c r="BK23" s="217"/>
      <c r="BL23" s="217"/>
      <c r="BM23" s="217"/>
      <c r="BN23" s="217"/>
      <c r="BO23" s="217"/>
      <c r="BP23" s="217"/>
      <c r="BQ23" s="217"/>
      <c r="BR23" s="217"/>
      <c r="BS23" s="217"/>
      <c r="BT23" s="217"/>
      <c r="BU23" s="217"/>
      <c r="BV23" s="217"/>
      <c r="BW23" s="217"/>
      <c r="BX23" s="217"/>
      <c r="BY23" s="217"/>
      <c r="BZ23" s="217"/>
      <c r="CA23" s="217"/>
      <c r="CB23" s="217"/>
      <c r="CC23" s="217"/>
      <c r="CD23" s="217"/>
      <c r="CE23" s="217"/>
      <c r="CF23" s="217"/>
      <c r="CG23" s="217"/>
      <c r="CH23" s="217"/>
      <c r="CI23" s="217"/>
      <c r="CJ23" s="217"/>
      <c r="CK23" s="217"/>
      <c r="CL23" s="217"/>
      <c r="CM23" s="217"/>
      <c r="CN23" s="217"/>
      <c r="CO23" s="217"/>
      <c r="CP23" s="217"/>
      <c r="CQ23" s="217"/>
      <c r="CR23" s="217"/>
      <c r="CS23" s="217"/>
      <c r="CT23" s="217"/>
      <c r="CU23" s="217"/>
      <c r="CV23" s="217"/>
      <c r="CW23" s="217"/>
      <c r="CX23" s="217"/>
      <c r="CY23" s="217"/>
      <c r="CZ23" s="217"/>
      <c r="DA23" s="217"/>
      <c r="DB23" s="217"/>
      <c r="DC23" s="217"/>
      <c r="DD23" s="217"/>
      <c r="DE23" s="217"/>
      <c r="DF23" s="217"/>
      <c r="DG23" s="217"/>
      <c r="DH23" s="217"/>
      <c r="DI23" s="217"/>
      <c r="DJ23" s="217"/>
      <c r="DK23" s="217"/>
      <c r="DL23" s="217"/>
      <c r="DM23" s="217"/>
      <c r="DN23" s="217"/>
      <c r="DO23" s="217"/>
      <c r="DP23" s="217"/>
      <c r="DQ23" s="217"/>
      <c r="DR23" s="217"/>
      <c r="DS23" s="217"/>
      <c r="DT23" s="217"/>
      <c r="DU23" s="217"/>
      <c r="DV23" s="217"/>
      <c r="DW23" s="217"/>
      <c r="DX23" s="217"/>
      <c r="DY23" s="217"/>
      <c r="DZ23" s="217"/>
      <c r="EA23" s="217"/>
      <c r="EB23" s="217"/>
      <c r="EC23" s="217"/>
      <c r="ED23" s="217"/>
      <c r="EE23" s="217"/>
      <c r="EF23" s="217"/>
      <c r="EG23" s="217"/>
      <c r="EH23" s="217"/>
      <c r="EI23" s="217"/>
      <c r="EJ23" s="217"/>
      <c r="EK23" s="217"/>
      <c r="EL23" s="217"/>
      <c r="EM23" s="217"/>
      <c r="EN23" s="217"/>
      <c r="EO23" s="217"/>
      <c r="EP23" s="217"/>
      <c r="EQ23" s="217"/>
      <c r="ER23" s="217"/>
      <c r="ES23" s="217"/>
      <c r="ET23" s="217"/>
      <c r="EU23" s="217"/>
      <c r="EV23" s="217"/>
      <c r="EW23" s="217"/>
      <c r="EX23" s="217"/>
      <c r="EY23" s="217"/>
      <c r="EZ23" s="217"/>
      <c r="FA23" s="217"/>
      <c r="FB23" s="217"/>
      <c r="FC23" s="217"/>
      <c r="FD23" s="217"/>
      <c r="FE23" s="217"/>
      <c r="FF23" s="217"/>
      <c r="FG23" s="217"/>
      <c r="FH23" s="217"/>
      <c r="FI23" s="217"/>
      <c r="FJ23" s="217"/>
      <c r="FK23" s="217"/>
      <c r="FL23" s="217"/>
      <c r="FM23" s="217"/>
      <c r="FN23" s="217"/>
      <c r="FO23" s="217"/>
      <c r="FP23" s="217"/>
      <c r="FQ23" s="217"/>
      <c r="FR23" s="217"/>
      <c r="FS23" s="217"/>
      <c r="FT23" s="217"/>
      <c r="FU23" s="217"/>
      <c r="FV23" s="217"/>
      <c r="FW23" s="217"/>
      <c r="FX23" s="217"/>
      <c r="FY23" s="217"/>
      <c r="FZ23" s="217"/>
      <c r="GA23" s="217"/>
      <c r="GB23" s="217"/>
      <c r="GC23" s="217"/>
      <c r="GD23" s="217"/>
      <c r="GE23" s="217"/>
      <c r="GF23" s="217"/>
      <c r="GG23" s="217"/>
      <c r="GH23" s="217"/>
      <c r="GI23" s="217"/>
      <c r="GJ23" s="217"/>
      <c r="GK23" s="217"/>
      <c r="GL23" s="217"/>
      <c r="GM23" s="217"/>
      <c r="GN23" s="217"/>
      <c r="GO23" s="217"/>
      <c r="GP23" s="217"/>
      <c r="GQ23" s="217"/>
      <c r="GR23" s="217"/>
      <c r="GS23" s="217"/>
      <c r="GT23" s="217"/>
      <c r="GU23" s="217"/>
      <c r="GV23" s="217"/>
      <c r="GW23" s="217"/>
      <c r="GX23" s="217"/>
      <c r="GY23" s="217"/>
      <c r="GZ23" s="217"/>
      <c r="HA23" s="217"/>
      <c r="HB23" s="217"/>
      <c r="HC23" s="217"/>
      <c r="HD23" s="217"/>
      <c r="HE23" s="217"/>
      <c r="HF23" s="217"/>
      <c r="HG23" s="217"/>
      <c r="HH23" s="217"/>
      <c r="HI23" s="217"/>
      <c r="HJ23" s="217"/>
      <c r="HK23" s="217"/>
      <c r="HL23" s="217"/>
      <c r="HM23" s="217"/>
      <c r="HN23" s="217"/>
      <c r="HO23" s="217"/>
      <c r="HP23" s="217"/>
      <c r="HQ23" s="217"/>
    </row>
    <row r="24" spans="2:246" ht="23.25" customHeight="1">
      <c r="C24" s="124">
        <v>4</v>
      </c>
      <c r="D24" s="990" t="s">
        <v>444</v>
      </c>
      <c r="E24" s="991"/>
      <c r="F24" s="991"/>
      <c r="G24" s="991"/>
      <c r="H24" s="991"/>
      <c r="I24" s="991"/>
      <c r="J24" s="991"/>
      <c r="K24" s="991"/>
      <c r="L24" s="991"/>
      <c r="M24" s="991"/>
      <c r="N24" s="991"/>
      <c r="O24" s="992"/>
      <c r="HR24" s="207"/>
      <c r="HS24" s="207"/>
      <c r="HT24" s="207"/>
      <c r="HU24" s="207"/>
      <c r="HV24" s="207"/>
      <c r="HW24" s="207"/>
      <c r="HX24" s="207"/>
      <c r="HY24" s="207"/>
      <c r="HZ24" s="207"/>
      <c r="IA24" s="207"/>
      <c r="IB24" s="207"/>
      <c r="IC24" s="207"/>
      <c r="ID24" s="207"/>
      <c r="IE24" s="207"/>
      <c r="IF24" s="207"/>
      <c r="IG24" s="207"/>
      <c r="IH24" s="207"/>
      <c r="II24" s="207"/>
      <c r="IJ24" s="207"/>
      <c r="IK24" s="207"/>
      <c r="IL24" s="207"/>
    </row>
    <row r="25" spans="2:246" ht="23.25" customHeight="1">
      <c r="C25" s="239"/>
      <c r="D25" s="990" t="s">
        <v>445</v>
      </c>
      <c r="E25" s="991"/>
      <c r="F25" s="991"/>
      <c r="G25" s="991"/>
      <c r="H25" s="991"/>
      <c r="I25" s="991"/>
      <c r="J25" s="991"/>
      <c r="K25" s="991"/>
      <c r="L25" s="991"/>
      <c r="M25" s="991"/>
      <c r="N25" s="991"/>
      <c r="O25" s="992"/>
      <c r="HR25" s="207"/>
      <c r="HS25" s="207"/>
      <c r="HT25" s="207"/>
      <c r="HU25" s="207"/>
      <c r="HV25" s="207"/>
      <c r="HW25" s="207"/>
      <c r="HX25" s="207"/>
      <c r="HY25" s="207"/>
      <c r="HZ25" s="207"/>
      <c r="IA25" s="207"/>
      <c r="IB25" s="207"/>
      <c r="IC25" s="207"/>
      <c r="ID25" s="207"/>
      <c r="IE25" s="207"/>
      <c r="IF25" s="207"/>
      <c r="IG25" s="207"/>
      <c r="IH25" s="207"/>
      <c r="II25" s="207"/>
      <c r="IJ25" s="207"/>
      <c r="IK25" s="207"/>
      <c r="IL25" s="207"/>
    </row>
    <row r="26" spans="2:246" ht="23.25" customHeight="1">
      <c r="C26" s="240"/>
      <c r="D26" s="990" t="s">
        <v>446</v>
      </c>
      <c r="E26" s="991"/>
      <c r="F26" s="991"/>
      <c r="G26" s="991"/>
      <c r="H26" s="991"/>
      <c r="I26" s="991"/>
      <c r="J26" s="991"/>
      <c r="K26" s="991"/>
      <c r="L26" s="991"/>
      <c r="M26" s="991"/>
      <c r="N26" s="991"/>
      <c r="O26" s="992"/>
      <c r="HR26" s="207"/>
      <c r="HS26" s="207"/>
      <c r="HT26" s="207"/>
      <c r="HU26" s="207"/>
      <c r="HV26" s="207"/>
      <c r="HW26" s="207"/>
      <c r="HX26" s="207"/>
      <c r="HY26" s="207"/>
      <c r="HZ26" s="207"/>
      <c r="IA26" s="207"/>
      <c r="IB26" s="207"/>
      <c r="IC26" s="207"/>
      <c r="ID26" s="207"/>
      <c r="IE26" s="207"/>
      <c r="IF26" s="207"/>
      <c r="IG26" s="207"/>
      <c r="IH26" s="207"/>
      <c r="II26" s="207"/>
      <c r="IJ26" s="207"/>
      <c r="IK26" s="207"/>
      <c r="IL26" s="207"/>
    </row>
    <row r="27" spans="2:246" ht="23.25" customHeight="1">
      <c r="C27" s="241"/>
      <c r="D27" s="990" t="s">
        <v>447</v>
      </c>
      <c r="E27" s="991"/>
      <c r="F27" s="991"/>
      <c r="G27" s="991"/>
      <c r="H27" s="991"/>
      <c r="I27" s="991"/>
      <c r="J27" s="991"/>
      <c r="K27" s="991"/>
      <c r="L27" s="991"/>
      <c r="M27" s="991"/>
      <c r="N27" s="991"/>
      <c r="O27" s="992"/>
      <c r="HR27" s="207"/>
      <c r="HS27" s="207"/>
      <c r="HT27" s="207"/>
      <c r="HU27" s="207"/>
      <c r="HV27" s="207"/>
      <c r="HW27" s="207"/>
      <c r="HX27" s="207"/>
      <c r="HY27" s="207"/>
      <c r="HZ27" s="207"/>
      <c r="IA27" s="207"/>
      <c r="IB27" s="207"/>
      <c r="IC27" s="207"/>
      <c r="ID27" s="207"/>
      <c r="IE27" s="207"/>
      <c r="IF27" s="207"/>
      <c r="IG27" s="207"/>
      <c r="IH27" s="207"/>
      <c r="II27" s="207"/>
      <c r="IJ27" s="207"/>
      <c r="IK27" s="207"/>
      <c r="IL27" s="207"/>
    </row>
    <row r="28" spans="2:246" ht="30" customHeight="1">
      <c r="C28" s="242"/>
      <c r="D28" s="990" t="s">
        <v>448</v>
      </c>
      <c r="E28" s="991"/>
      <c r="F28" s="991"/>
      <c r="G28" s="991"/>
      <c r="H28" s="991"/>
      <c r="I28" s="991"/>
      <c r="J28" s="991"/>
      <c r="K28" s="991"/>
      <c r="L28" s="991"/>
      <c r="M28" s="991"/>
      <c r="N28" s="991"/>
      <c r="O28" s="992"/>
      <c r="HR28" s="207"/>
      <c r="HS28" s="207"/>
      <c r="HT28" s="207"/>
      <c r="HU28" s="207"/>
      <c r="HV28" s="207"/>
      <c r="HW28" s="207"/>
      <c r="HX28" s="207"/>
      <c r="HY28" s="207"/>
      <c r="HZ28" s="207"/>
      <c r="IA28" s="207"/>
      <c r="IB28" s="207"/>
      <c r="IC28" s="207"/>
      <c r="ID28" s="207"/>
      <c r="IE28" s="207"/>
      <c r="IF28" s="207"/>
      <c r="IG28" s="207"/>
      <c r="IH28" s="207"/>
      <c r="II28" s="207"/>
      <c r="IJ28" s="207"/>
      <c r="IK28" s="207"/>
      <c r="IL28" s="207"/>
    </row>
    <row r="29" spans="2:246">
      <c r="E29" s="159"/>
      <c r="F29" s="159"/>
      <c r="G29" s="159"/>
      <c r="H29" s="159"/>
      <c r="I29" s="159"/>
      <c r="J29" s="159"/>
      <c r="K29" s="159"/>
      <c r="HS29" s="207"/>
      <c r="HT29" s="207"/>
      <c r="HU29" s="207"/>
      <c r="HV29" s="207"/>
      <c r="HW29" s="207"/>
      <c r="HX29" s="207"/>
      <c r="HY29" s="207"/>
      <c r="HZ29" s="207"/>
      <c r="IA29" s="207"/>
      <c r="IB29" s="207"/>
      <c r="IC29" s="207"/>
      <c r="ID29" s="207"/>
      <c r="IE29" s="207"/>
      <c r="IF29" s="207"/>
      <c r="IG29" s="207"/>
      <c r="IH29" s="207"/>
      <c r="II29" s="207"/>
      <c r="IJ29" s="207"/>
      <c r="IK29" s="207"/>
      <c r="IL29" s="207"/>
    </row>
    <row r="30" spans="2:246">
      <c r="HS30" s="207"/>
      <c r="HT30" s="207"/>
      <c r="HU30" s="207"/>
      <c r="HV30" s="207"/>
      <c r="HW30" s="207"/>
      <c r="HX30" s="207"/>
      <c r="HY30" s="207"/>
      <c r="HZ30" s="207"/>
      <c r="IA30" s="207"/>
      <c r="IB30" s="207"/>
      <c r="IC30" s="207"/>
      <c r="ID30" s="207"/>
      <c r="IE30" s="207"/>
      <c r="IF30" s="207"/>
      <c r="IG30" s="207"/>
      <c r="IH30" s="207"/>
      <c r="II30" s="207"/>
      <c r="IJ30" s="207"/>
      <c r="IK30" s="207"/>
      <c r="IL30" s="207"/>
    </row>
    <row r="31" spans="2:246">
      <c r="HS31" s="207"/>
      <c r="HT31" s="207"/>
      <c r="HU31" s="207"/>
      <c r="HV31" s="207"/>
      <c r="HW31" s="207"/>
      <c r="HX31" s="207"/>
      <c r="HY31" s="207"/>
      <c r="HZ31" s="207"/>
      <c r="IA31" s="207"/>
      <c r="IB31" s="207"/>
      <c r="IC31" s="207"/>
      <c r="ID31" s="207"/>
      <c r="IE31" s="207"/>
      <c r="IF31" s="207"/>
      <c r="IG31" s="207"/>
      <c r="IH31" s="207"/>
      <c r="II31" s="207"/>
      <c r="IJ31" s="207"/>
      <c r="IK31" s="207"/>
      <c r="IL31" s="207"/>
    </row>
  </sheetData>
  <mergeCells count="11">
    <mergeCell ref="C3:N3"/>
    <mergeCell ref="D25:O25"/>
    <mergeCell ref="D26:O26"/>
    <mergeCell ref="D27:O27"/>
    <mergeCell ref="D28:O28"/>
    <mergeCell ref="C14:O14"/>
    <mergeCell ref="D21:O21"/>
    <mergeCell ref="D22:O22"/>
    <mergeCell ref="D23:O23"/>
    <mergeCell ref="D24:O24"/>
    <mergeCell ref="D8:L8"/>
  </mergeCells>
  <printOptions horizontalCentered="1" verticalCentered="1"/>
  <pageMargins left="0.51181102362204722" right="0.51181102362204722" top="0.78740157480314965" bottom="0.78740157480314965" header="0.31496062992125984" footer="0.31496062992125984"/>
  <pageSetup paperSize="9" scale="5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AD41"/>
  <sheetViews>
    <sheetView showGridLines="0" zoomScale="80" zoomScaleNormal="80" workbookViewId="0">
      <selection activeCell="H30" sqref="H30"/>
    </sheetView>
  </sheetViews>
  <sheetFormatPr defaultColWidth="9.140625" defaultRowHeight="18"/>
  <cols>
    <col min="1" max="1" width="9.140625" style="71"/>
    <col min="2" max="2" width="48.42578125" style="71" customWidth="1"/>
    <col min="3" max="3" width="35.28515625" style="71" customWidth="1"/>
    <col min="4" max="4" width="28.5703125" style="71" customWidth="1"/>
    <col min="5" max="5" width="32" style="72" customWidth="1"/>
    <col min="6" max="6" width="9.140625" style="69"/>
    <col min="7" max="7" width="14.85546875" style="73" customWidth="1"/>
    <col min="8" max="8" width="29.7109375" style="70" customWidth="1"/>
    <col min="9" max="9" width="22.140625" style="69" customWidth="1"/>
    <col min="10" max="10" width="21.85546875" style="69" customWidth="1"/>
    <col min="11" max="11" width="9.28515625" style="69" customWidth="1"/>
    <col min="12" max="12" width="35.28515625" style="69" customWidth="1"/>
    <col min="13" max="13" width="24.5703125" style="70" customWidth="1"/>
    <col min="14" max="17" width="9.140625" style="69"/>
    <col min="18" max="16384" width="9.140625" style="71"/>
  </cols>
  <sheetData>
    <row r="2" spans="2:13">
      <c r="B2" s="74"/>
      <c r="C2" s="74"/>
      <c r="D2" s="74"/>
      <c r="J2" s="106"/>
    </row>
    <row r="3" spans="2:13" ht="18" customHeight="1">
      <c r="B3" s="1022" t="s">
        <v>449</v>
      </c>
      <c r="C3" s="1022"/>
      <c r="D3" s="1022"/>
      <c r="E3" s="75"/>
      <c r="F3" s="1023" t="s">
        <v>450</v>
      </c>
      <c r="G3" s="1024"/>
      <c r="H3" s="1025"/>
      <c r="I3" s="107" t="s">
        <v>355</v>
      </c>
      <c r="K3" s="1000" t="s">
        <v>450</v>
      </c>
      <c r="L3" s="1001"/>
      <c r="M3" s="1001"/>
    </row>
    <row r="4" spans="2:13" s="69" customFormat="1">
      <c r="B4" s="1022"/>
      <c r="C4" s="1022"/>
      <c r="D4" s="1022"/>
      <c r="E4" s="75"/>
      <c r="F4" s="1016" t="s">
        <v>1</v>
      </c>
      <c r="G4" s="1018" t="s">
        <v>371</v>
      </c>
      <c r="H4" s="76" t="s">
        <v>195</v>
      </c>
      <c r="I4" s="108" t="s">
        <v>197</v>
      </c>
      <c r="K4" s="1007" t="s">
        <v>1</v>
      </c>
      <c r="L4" s="1008" t="s">
        <v>371</v>
      </c>
      <c r="M4" s="80" t="s">
        <v>195</v>
      </c>
    </row>
    <row r="5" spans="2:13" s="69" customFormat="1" ht="83.25" customHeight="1">
      <c r="B5" s="1002" t="s">
        <v>451</v>
      </c>
      <c r="C5" s="1002"/>
      <c r="D5" s="77" t="s">
        <v>452</v>
      </c>
      <c r="E5" s="78" t="s">
        <v>453</v>
      </c>
      <c r="F5" s="1017"/>
      <c r="G5" s="1019"/>
      <c r="H5" s="79" t="s">
        <v>454</v>
      </c>
      <c r="I5" s="109" t="s">
        <v>455</v>
      </c>
      <c r="J5" s="78" t="s">
        <v>456</v>
      </c>
      <c r="K5" s="1007"/>
      <c r="L5" s="1008"/>
      <c r="M5" s="110" t="s">
        <v>454</v>
      </c>
    </row>
    <row r="6" spans="2:13" s="69" customFormat="1" ht="33" customHeight="1">
      <c r="B6" s="1020" t="s">
        <v>457</v>
      </c>
      <c r="C6" s="1020"/>
      <c r="D6" s="80" t="s">
        <v>458</v>
      </c>
      <c r="E6" s="70">
        <f>(36012.39/(1.65/100))+4158.26/(0.65/100)</f>
        <v>2822301.3986014002</v>
      </c>
      <c r="F6" s="81">
        <v>1</v>
      </c>
      <c r="G6" s="82">
        <v>42736</v>
      </c>
      <c r="H6" s="83">
        <f>E6</f>
        <v>2822301.3986014002</v>
      </c>
      <c r="I6" s="111">
        <f>1.65/100*H6</f>
        <v>46567.973076923103</v>
      </c>
      <c r="J6" s="70">
        <f>165875.25/(7.6/100)+19191.97/(3/100)</f>
        <v>2822301.4122807002</v>
      </c>
      <c r="K6" s="81">
        <v>1</v>
      </c>
      <c r="L6" s="82">
        <f t="shared" ref="L6:L17" si="0">G6</f>
        <v>42736</v>
      </c>
      <c r="M6" s="83">
        <f>J6</f>
        <v>2822301.4122807002</v>
      </c>
    </row>
    <row r="7" spans="2:13" s="69" customFormat="1" ht="33" customHeight="1">
      <c r="B7" s="1020"/>
      <c r="C7" s="1020"/>
      <c r="D7" s="80" t="s">
        <v>459</v>
      </c>
      <c r="E7" s="70">
        <f>(39259.3/(1.65/100))+5191.99/(0.65/100)</f>
        <v>3178119.20745921</v>
      </c>
      <c r="F7" s="81">
        <f t="shared" ref="F7:F17" si="1">1+F6</f>
        <v>2</v>
      </c>
      <c r="G7" s="82">
        <v>42767</v>
      </c>
      <c r="H7" s="83">
        <f t="shared" ref="H7:H17" si="2">E7</f>
        <v>3178119.20745921</v>
      </c>
      <c r="I7" s="111">
        <f t="shared" ref="I7:I17" si="3">1.65/100*H7</f>
        <v>52438.9669230769</v>
      </c>
      <c r="J7" s="70">
        <f>180830.7/(7.6/100)+23963.05/(3/100)</f>
        <v>3178119.64912281</v>
      </c>
      <c r="K7" s="81">
        <f t="shared" ref="K7:K17" si="4">K6+1</f>
        <v>2</v>
      </c>
      <c r="L7" s="82">
        <f t="shared" si="0"/>
        <v>42767</v>
      </c>
      <c r="M7" s="83">
        <f>J7</f>
        <v>3178119.64912281</v>
      </c>
    </row>
    <row r="8" spans="2:13" s="69" customFormat="1" ht="33" customHeight="1">
      <c r="B8" s="1020"/>
      <c r="C8" s="1020"/>
      <c r="D8" s="80" t="s">
        <v>460</v>
      </c>
      <c r="E8" s="70">
        <f>39178.1/(1.65/100)+3951.17/(0.65/100)</f>
        <v>2982302.6107226098</v>
      </c>
      <c r="F8" s="81">
        <f t="shared" si="1"/>
        <v>3</v>
      </c>
      <c r="G8" s="82">
        <v>42795</v>
      </c>
      <c r="H8" s="83">
        <f t="shared" si="2"/>
        <v>2982302.6107226098</v>
      </c>
      <c r="I8" s="111">
        <f t="shared" si="3"/>
        <v>49207.9930769231</v>
      </c>
      <c r="J8" s="70">
        <f>180456.71/(7.6/100)+18236.18/(3/100)</f>
        <v>2982303.0614035102</v>
      </c>
      <c r="K8" s="81">
        <f t="shared" si="4"/>
        <v>3</v>
      </c>
      <c r="L8" s="82">
        <f t="shared" si="0"/>
        <v>42795</v>
      </c>
      <c r="M8" s="83">
        <f t="shared" ref="M8:M17" si="5">J8</f>
        <v>2982303.0614035102</v>
      </c>
    </row>
    <row r="9" spans="2:13" s="69" customFormat="1" ht="33" customHeight="1">
      <c r="B9" s="1020"/>
      <c r="C9" s="1020"/>
      <c r="D9" s="80" t="s">
        <v>461</v>
      </c>
      <c r="E9" s="70">
        <f>27999.02/(1.65/100)+4495.92/(0.65/100)</f>
        <v>2388590.3030303</v>
      </c>
      <c r="F9" s="81">
        <f t="shared" si="1"/>
        <v>4</v>
      </c>
      <c r="G9" s="82">
        <v>42826</v>
      </c>
      <c r="H9" s="83">
        <f t="shared" si="2"/>
        <v>2388590.3030303</v>
      </c>
      <c r="I9" s="111">
        <f t="shared" si="3"/>
        <v>39411.74</v>
      </c>
      <c r="J9" s="70">
        <f>128965.19/(7.6/100)+20750.42/(3/100)</f>
        <v>2388591.0614035102</v>
      </c>
      <c r="K9" s="81">
        <f t="shared" si="4"/>
        <v>4</v>
      </c>
      <c r="L9" s="82">
        <f t="shared" si="0"/>
        <v>42826</v>
      </c>
      <c r="M9" s="83">
        <f t="shared" si="5"/>
        <v>2388591.0614035102</v>
      </c>
    </row>
    <row r="10" spans="2:13" s="69" customFormat="1" ht="33" customHeight="1">
      <c r="B10" s="1021" t="s">
        <v>462</v>
      </c>
      <c r="C10" s="1021"/>
      <c r="D10" s="80" t="s">
        <v>463</v>
      </c>
      <c r="E10" s="70">
        <f>35273.08/(1.65/100)+4129.65/(0.65/100)</f>
        <v>2773093.1934731901</v>
      </c>
      <c r="F10" s="81">
        <f t="shared" si="1"/>
        <v>5</v>
      </c>
      <c r="G10" s="82">
        <v>42856</v>
      </c>
      <c r="H10" s="83">
        <f t="shared" si="2"/>
        <v>2773093.1934731901</v>
      </c>
      <c r="I10" s="111">
        <f t="shared" si="3"/>
        <v>45756.037692307698</v>
      </c>
      <c r="J10" s="70">
        <f>162469.95/(7.6/100)+19059.92/(3/100)</f>
        <v>2773093.1666666698</v>
      </c>
      <c r="K10" s="81">
        <f t="shared" si="4"/>
        <v>5</v>
      </c>
      <c r="L10" s="82">
        <f t="shared" si="0"/>
        <v>42856</v>
      </c>
      <c r="M10" s="83">
        <f t="shared" si="5"/>
        <v>2773093.1666666698</v>
      </c>
    </row>
    <row r="11" spans="2:13" s="69" customFormat="1" ht="33" customHeight="1">
      <c r="B11" s="1021"/>
      <c r="C11" s="1021"/>
      <c r="D11" s="80" t="s">
        <v>464</v>
      </c>
      <c r="E11" s="70">
        <f>32558.52/(1.65/100)+3291.92/(0.65/100)</f>
        <v>2479692.86713287</v>
      </c>
      <c r="F11" s="81">
        <f t="shared" si="1"/>
        <v>6</v>
      </c>
      <c r="G11" s="82">
        <v>42887</v>
      </c>
      <c r="H11" s="83">
        <f t="shared" si="2"/>
        <v>2479692.86713287</v>
      </c>
      <c r="I11" s="111">
        <f t="shared" si="3"/>
        <v>40914.932307692303</v>
      </c>
      <c r="J11" s="70">
        <f>149966.52/(7.6/100)+15193.49/(3/100)</f>
        <v>2479693.35087719</v>
      </c>
      <c r="K11" s="81">
        <f t="shared" si="4"/>
        <v>6</v>
      </c>
      <c r="L11" s="82">
        <f t="shared" si="0"/>
        <v>42887</v>
      </c>
      <c r="M11" s="83">
        <f t="shared" si="5"/>
        <v>2479693.35087719</v>
      </c>
    </row>
    <row r="12" spans="2:13" s="69" customFormat="1" ht="33" customHeight="1">
      <c r="B12" s="1021"/>
      <c r="C12" s="1021"/>
      <c r="D12" s="80" t="s">
        <v>465</v>
      </c>
      <c r="E12" s="70">
        <f>33911.81/(1.65/100)+6803.49/(0.65/100)</f>
        <v>3101951.98135198</v>
      </c>
      <c r="F12" s="81">
        <f t="shared" si="1"/>
        <v>7</v>
      </c>
      <c r="G12" s="82">
        <v>42917</v>
      </c>
      <c r="H12" s="83">
        <f t="shared" si="2"/>
        <v>3101951.98135198</v>
      </c>
      <c r="I12" s="111">
        <f t="shared" si="3"/>
        <v>51182.207692307697</v>
      </c>
      <c r="J12" s="70">
        <f>156199.84/(7.6/100)+31400.72/(3/100)</f>
        <v>3101951.71929825</v>
      </c>
      <c r="K12" s="81">
        <f t="shared" si="4"/>
        <v>7</v>
      </c>
      <c r="L12" s="82">
        <f t="shared" si="0"/>
        <v>42917</v>
      </c>
      <c r="M12" s="83">
        <f t="shared" si="5"/>
        <v>3101951.71929825</v>
      </c>
    </row>
    <row r="13" spans="2:13" s="69" customFormat="1" ht="33" customHeight="1">
      <c r="B13" s="1021"/>
      <c r="C13" s="1021"/>
      <c r="D13" s="80" t="s">
        <v>466</v>
      </c>
      <c r="E13" s="70">
        <f>28650.15/(1.65/100)+4751.41/(0.65/100)</f>
        <v>2467358.8811188801</v>
      </c>
      <c r="F13" s="81">
        <f t="shared" si="1"/>
        <v>8</v>
      </c>
      <c r="G13" s="82">
        <v>42948</v>
      </c>
      <c r="H13" s="83">
        <f t="shared" si="2"/>
        <v>2467358.8811188801</v>
      </c>
      <c r="I13" s="111">
        <f t="shared" si="3"/>
        <v>40711.421538461502</v>
      </c>
      <c r="J13" s="70">
        <f>131964.35/(7.6/100)+21929.57/(3/100)</f>
        <v>2467358.6929824599</v>
      </c>
      <c r="K13" s="81">
        <f t="shared" si="4"/>
        <v>8</v>
      </c>
      <c r="L13" s="82">
        <f t="shared" si="0"/>
        <v>42948</v>
      </c>
      <c r="M13" s="83">
        <f t="shared" si="5"/>
        <v>2467358.6929824599</v>
      </c>
    </row>
    <row r="14" spans="2:13" s="69" customFormat="1" ht="33" customHeight="1">
      <c r="D14" s="84"/>
      <c r="E14" s="70">
        <f>(33026.56/(1.65/100))+4391.01/(0.65/100)</f>
        <v>2677149.6969697</v>
      </c>
      <c r="F14" s="81">
        <f t="shared" si="1"/>
        <v>9</v>
      </c>
      <c r="G14" s="82">
        <v>42979</v>
      </c>
      <c r="H14" s="83">
        <f t="shared" si="2"/>
        <v>2677149.6969697</v>
      </c>
      <c r="I14" s="111">
        <f t="shared" si="3"/>
        <v>44172.97</v>
      </c>
      <c r="J14" s="70">
        <f>152122.32/(7.6/100)+20275.43/(3/100)</f>
        <v>2677457.1403508801</v>
      </c>
      <c r="K14" s="81">
        <f t="shared" si="4"/>
        <v>9</v>
      </c>
      <c r="L14" s="82">
        <f t="shared" si="0"/>
        <v>42979</v>
      </c>
      <c r="M14" s="83">
        <f t="shared" si="5"/>
        <v>2677457.1403508801</v>
      </c>
    </row>
    <row r="15" spans="2:13" s="69" customFormat="1" ht="33" customHeight="1">
      <c r="D15" s="70"/>
      <c r="E15" s="70">
        <f>38439.91/(1.65/100)+3504.61/(0.65/100)</f>
        <v>2868862.28438228</v>
      </c>
      <c r="F15" s="81">
        <f t="shared" si="1"/>
        <v>10</v>
      </c>
      <c r="G15" s="82">
        <v>43009</v>
      </c>
      <c r="H15" s="83">
        <f t="shared" si="2"/>
        <v>2868862.28438228</v>
      </c>
      <c r="I15" s="111">
        <f t="shared" si="3"/>
        <v>47336.227692307701</v>
      </c>
      <c r="J15" s="70">
        <f>177056.54/(7.6/100)+16175.13/(3/100)</f>
        <v>2868862.31578947</v>
      </c>
      <c r="K15" s="81">
        <f t="shared" si="4"/>
        <v>10</v>
      </c>
      <c r="L15" s="82">
        <f t="shared" si="0"/>
        <v>43009</v>
      </c>
      <c r="M15" s="83">
        <f t="shared" si="5"/>
        <v>2868862.31578947</v>
      </c>
    </row>
    <row r="16" spans="2:13" s="69" customFormat="1" ht="33" customHeight="1">
      <c r="D16" s="70"/>
      <c r="E16" s="70">
        <f>(34333.29/(1.65/100))+4487.6/(0.65/100)</f>
        <v>2771205.4545454499</v>
      </c>
      <c r="F16" s="81">
        <f t="shared" si="1"/>
        <v>11</v>
      </c>
      <c r="G16" s="85">
        <v>43040</v>
      </c>
      <c r="H16" s="83">
        <f t="shared" si="2"/>
        <v>2771205.4545454499</v>
      </c>
      <c r="I16" s="111">
        <f t="shared" si="3"/>
        <v>45724.89</v>
      </c>
      <c r="J16" s="70">
        <f>158141.22/(7.6/100)+20712.01/(3/100)</f>
        <v>2771205.8596491199</v>
      </c>
      <c r="K16" s="81">
        <f t="shared" si="4"/>
        <v>11</v>
      </c>
      <c r="L16" s="82">
        <f t="shared" si="0"/>
        <v>43040</v>
      </c>
      <c r="M16" s="83">
        <f t="shared" si="5"/>
        <v>2771205.8596491199</v>
      </c>
    </row>
    <row r="17" spans="1:30" s="69" customFormat="1" ht="33" customHeight="1">
      <c r="D17" s="70"/>
      <c r="E17" s="70">
        <f>(46022.55/(1.65/100))+5553.56/(0.65/100)</f>
        <v>3643639.3006993001</v>
      </c>
      <c r="F17" s="86">
        <f t="shared" si="1"/>
        <v>12</v>
      </c>
      <c r="G17" s="87">
        <v>43070</v>
      </c>
      <c r="H17" s="83">
        <f t="shared" si="2"/>
        <v>3643639.3006993001</v>
      </c>
      <c r="I17" s="111">
        <f t="shared" si="3"/>
        <v>60120.048461538499</v>
      </c>
      <c r="J17" s="70">
        <f>211982.66/(7.6/100)+25631.8/(3/100)</f>
        <v>3643638.8596491199</v>
      </c>
      <c r="K17" s="112">
        <f t="shared" si="4"/>
        <v>12</v>
      </c>
      <c r="L17" s="82">
        <f t="shared" si="0"/>
        <v>43070</v>
      </c>
      <c r="M17" s="83">
        <f t="shared" si="5"/>
        <v>3643638.8596491199</v>
      </c>
    </row>
    <row r="18" spans="1:30" s="69" customFormat="1" ht="33" customHeight="1">
      <c r="D18" s="88"/>
      <c r="E18" s="70"/>
      <c r="F18" s="1003" t="s">
        <v>467</v>
      </c>
      <c r="G18" s="1004"/>
      <c r="H18" s="89">
        <f>SUM(H6:H17)</f>
        <v>34154267.179487199</v>
      </c>
      <c r="I18" s="113"/>
      <c r="K18" s="1005" t="s">
        <v>467</v>
      </c>
      <c r="L18" s="1006"/>
      <c r="M18" s="114">
        <f>SUM(M6:M17)</f>
        <v>34154576.289473698</v>
      </c>
    </row>
    <row r="19" spans="1:30" s="69" customFormat="1" ht="36" customHeight="1">
      <c r="A19" s="71"/>
      <c r="B19" s="71"/>
      <c r="C19" s="71"/>
      <c r="D19" s="71"/>
      <c r="E19" s="72"/>
      <c r="G19" s="73"/>
      <c r="H19" s="70"/>
      <c r="M19" s="70"/>
      <c r="R19" s="71"/>
      <c r="S19" s="71"/>
      <c r="T19" s="71"/>
      <c r="U19" s="71"/>
      <c r="V19" s="71"/>
      <c r="W19" s="71"/>
      <c r="X19" s="71"/>
      <c r="Y19" s="71"/>
      <c r="Z19" s="71"/>
      <c r="AA19" s="71"/>
      <c r="AB19" s="71"/>
      <c r="AC19" s="71"/>
      <c r="AD19" s="71"/>
    </row>
    <row r="20" spans="1:30" s="69" customFormat="1">
      <c r="E20" s="90" t="s">
        <v>468</v>
      </c>
      <c r="F20" s="91" t="s">
        <v>469</v>
      </c>
      <c r="G20" s="92" t="s">
        <v>470</v>
      </c>
      <c r="H20" s="90" t="s">
        <v>471</v>
      </c>
      <c r="I20" s="115" t="s">
        <v>472</v>
      </c>
      <c r="M20" s="70"/>
    </row>
    <row r="23" spans="1:30">
      <c r="K23" s="1009" t="s">
        <v>453</v>
      </c>
      <c r="L23" s="1009"/>
      <c r="M23" s="116">
        <f>H18</f>
        <v>34154267.179487199</v>
      </c>
    </row>
    <row r="24" spans="1:30">
      <c r="K24" s="1009" t="s">
        <v>473</v>
      </c>
      <c r="L24" s="1009"/>
      <c r="M24" s="116">
        <f>M18</f>
        <v>34154576.289473698</v>
      </c>
    </row>
    <row r="25" spans="1:30">
      <c r="K25" s="1010" t="s">
        <v>474</v>
      </c>
      <c r="L25" s="1010"/>
      <c r="M25" s="117">
        <f>LARGE(M23:M24,1)</f>
        <v>34154576.289473698</v>
      </c>
    </row>
    <row r="26" spans="1:30" s="69" customFormat="1">
      <c r="A26" s="71"/>
      <c r="B26" s="71"/>
      <c r="C26" s="71"/>
      <c r="D26" s="71"/>
      <c r="E26" s="72"/>
      <c r="K26" s="1009" t="s">
        <v>475</v>
      </c>
      <c r="L26" s="1009"/>
      <c r="M26" s="116">
        <v>34154576.020000003</v>
      </c>
      <c r="R26" s="71"/>
      <c r="S26" s="71"/>
      <c r="T26" s="71"/>
      <c r="U26" s="71"/>
      <c r="V26" s="71"/>
      <c r="W26" s="71"/>
      <c r="X26" s="71"/>
      <c r="Y26" s="71"/>
      <c r="Z26" s="71"/>
      <c r="AA26" s="71"/>
      <c r="AB26" s="71"/>
      <c r="AC26" s="71"/>
      <c r="AD26" s="71"/>
    </row>
    <row r="27" spans="1:30" s="69" customFormat="1">
      <c r="A27" s="71"/>
      <c r="B27" s="71"/>
      <c r="C27" s="71"/>
      <c r="D27" s="71"/>
      <c r="E27" s="72"/>
      <c r="K27" s="1009" t="s">
        <v>476</v>
      </c>
      <c r="L27" s="1009"/>
      <c r="M27" s="116">
        <f>M26*0.85</f>
        <v>29031389.616999999</v>
      </c>
      <c r="R27" s="71"/>
      <c r="S27" s="71"/>
      <c r="T27" s="71"/>
      <c r="U27" s="71"/>
      <c r="V27" s="71"/>
      <c r="W27" s="71"/>
      <c r="X27" s="71"/>
      <c r="Y27" s="71"/>
      <c r="Z27" s="71"/>
      <c r="AA27" s="71"/>
      <c r="AB27" s="71"/>
      <c r="AC27" s="71"/>
      <c r="AD27" s="71"/>
    </row>
    <row r="28" spans="1:30" s="69" customFormat="1">
      <c r="A28" s="71"/>
      <c r="B28" s="71"/>
      <c r="C28" s="71"/>
      <c r="D28" s="71"/>
      <c r="E28" s="72"/>
      <c r="K28" s="1009" t="s">
        <v>477</v>
      </c>
      <c r="L28" s="1009"/>
      <c r="M28" s="116">
        <f>M26*1.15</f>
        <v>39277762.423</v>
      </c>
      <c r="R28" s="71"/>
      <c r="S28" s="71"/>
      <c r="T28" s="71"/>
      <c r="U28" s="71"/>
      <c r="V28" s="71"/>
      <c r="W28" s="71"/>
      <c r="X28" s="71"/>
      <c r="Y28" s="71"/>
      <c r="Z28" s="71"/>
      <c r="AA28" s="71"/>
      <c r="AB28" s="71"/>
      <c r="AC28" s="71"/>
      <c r="AD28" s="71"/>
    </row>
    <row r="29" spans="1:30" s="70" customFormat="1">
      <c r="A29" s="71"/>
      <c r="B29" s="71"/>
      <c r="C29" s="71"/>
      <c r="D29" s="71"/>
      <c r="E29" s="72"/>
      <c r="F29" s="69"/>
      <c r="J29" s="69"/>
      <c r="K29" s="69"/>
      <c r="L29" s="69"/>
      <c r="N29" s="69"/>
      <c r="O29" s="69"/>
      <c r="P29" s="69"/>
      <c r="Q29" s="69"/>
      <c r="R29" s="71"/>
      <c r="S29" s="71"/>
      <c r="T29" s="71"/>
      <c r="U29" s="71"/>
      <c r="V29" s="71"/>
      <c r="W29" s="71"/>
      <c r="X29" s="71"/>
      <c r="Y29" s="71"/>
      <c r="Z29" s="71"/>
      <c r="AA29" s="71"/>
      <c r="AB29" s="71"/>
      <c r="AC29" s="71"/>
      <c r="AD29" s="71"/>
    </row>
    <row r="30" spans="1:30" s="70" customFormat="1">
      <c r="A30" s="71"/>
      <c r="B30" s="71"/>
      <c r="C30" s="71"/>
      <c r="D30" s="71"/>
      <c r="E30" s="72"/>
      <c r="F30" s="69"/>
      <c r="J30" s="69"/>
      <c r="K30" s="69"/>
      <c r="L30" s="69"/>
      <c r="N30" s="69"/>
      <c r="O30" s="69"/>
      <c r="P30" s="69"/>
      <c r="Q30" s="69"/>
      <c r="R30" s="71"/>
      <c r="S30" s="71"/>
      <c r="T30" s="71"/>
      <c r="U30" s="71"/>
      <c r="V30" s="71"/>
      <c r="W30" s="71"/>
      <c r="X30" s="71"/>
      <c r="Y30" s="71"/>
      <c r="Z30" s="71"/>
      <c r="AA30" s="71"/>
      <c r="AB30" s="71"/>
      <c r="AC30" s="71"/>
      <c r="AD30" s="71"/>
    </row>
    <row r="31" spans="1:30" s="70" customFormat="1">
      <c r="A31" s="71"/>
      <c r="B31" s="71"/>
      <c r="C31" s="71"/>
      <c r="D31" s="71"/>
      <c r="E31" s="72"/>
      <c r="F31" s="69"/>
      <c r="J31" s="69"/>
      <c r="K31" s="69"/>
      <c r="L31" s="69"/>
      <c r="N31" s="69"/>
      <c r="O31" s="69"/>
      <c r="P31" s="69"/>
      <c r="Q31" s="69"/>
      <c r="R31" s="71"/>
      <c r="S31" s="71"/>
      <c r="T31" s="71"/>
      <c r="U31" s="71"/>
      <c r="V31" s="71"/>
      <c r="W31" s="71"/>
      <c r="X31" s="71"/>
      <c r="Y31" s="71"/>
      <c r="Z31" s="71"/>
      <c r="AA31" s="71"/>
      <c r="AB31" s="71"/>
      <c r="AC31" s="71"/>
      <c r="AD31" s="71"/>
    </row>
    <row r="32" spans="1:30" s="70" customFormat="1" ht="24.75" customHeight="1">
      <c r="A32" s="71"/>
      <c r="B32" s="1011" t="s">
        <v>478</v>
      </c>
      <c r="C32" s="1012"/>
      <c r="D32" s="1013"/>
      <c r="E32" s="72"/>
      <c r="F32" s="69"/>
      <c r="G32" s="73"/>
      <c r="I32" s="118"/>
      <c r="J32" s="69"/>
      <c r="K32" s="69"/>
      <c r="L32" s="69"/>
      <c r="N32" s="69"/>
      <c r="O32" s="69"/>
      <c r="P32" s="69"/>
      <c r="Q32" s="69"/>
      <c r="R32" s="71"/>
      <c r="S32" s="71"/>
      <c r="T32" s="71"/>
      <c r="U32" s="71"/>
      <c r="V32" s="71"/>
      <c r="W32" s="71"/>
      <c r="X32" s="71"/>
      <c r="Y32" s="71"/>
      <c r="Z32" s="71"/>
      <c r="AA32" s="71"/>
      <c r="AB32" s="71"/>
      <c r="AC32" s="71"/>
      <c r="AD32" s="71"/>
    </row>
    <row r="33" spans="1:30" s="70" customFormat="1" ht="20.25">
      <c r="A33" s="71"/>
      <c r="B33" s="93" t="s">
        <v>479</v>
      </c>
      <c r="C33" s="94" t="s">
        <v>480</v>
      </c>
      <c r="D33" s="95" t="str">
        <f>IF(D37&gt;=D34,"ok","desclassificar")</f>
        <v>ok</v>
      </c>
      <c r="E33" s="96"/>
      <c r="F33" s="69"/>
      <c r="G33" s="73"/>
      <c r="I33" s="118"/>
      <c r="J33" s="69"/>
      <c r="K33" s="69"/>
      <c r="L33" s="69"/>
      <c r="N33" s="69"/>
      <c r="O33" s="69"/>
      <c r="P33" s="69"/>
      <c r="Q33" s="69"/>
      <c r="R33" s="71"/>
      <c r="S33" s="71"/>
      <c r="T33" s="71"/>
      <c r="U33" s="71"/>
      <c r="V33" s="71"/>
      <c r="W33" s="71"/>
      <c r="X33" s="71"/>
      <c r="Y33" s="71"/>
      <c r="Z33" s="71"/>
      <c r="AA33" s="71"/>
      <c r="AB33" s="71"/>
      <c r="AC33" s="71"/>
      <c r="AD33" s="71"/>
    </row>
    <row r="34" spans="1:30" s="70" customFormat="1" ht="20.25">
      <c r="A34" s="71"/>
      <c r="B34" s="97" t="s">
        <v>481</v>
      </c>
      <c r="C34" s="98">
        <v>105055.44</v>
      </c>
      <c r="D34" s="99">
        <f>10/100*C34</f>
        <v>10505.544</v>
      </c>
      <c r="E34" s="96"/>
      <c r="F34" s="69"/>
      <c r="G34" s="73"/>
      <c r="I34" s="118"/>
      <c r="J34" s="69"/>
      <c r="K34" s="69"/>
      <c r="L34" s="69"/>
      <c r="N34" s="69"/>
      <c r="O34" s="69"/>
      <c r="P34" s="69"/>
      <c r="Q34" s="69"/>
      <c r="R34" s="71"/>
      <c r="S34" s="71"/>
      <c r="T34" s="71"/>
      <c r="U34" s="71"/>
      <c r="V34" s="71"/>
      <c r="W34" s="71"/>
      <c r="X34" s="71"/>
      <c r="Y34" s="71"/>
      <c r="Z34" s="71"/>
      <c r="AA34" s="71"/>
      <c r="AB34" s="71"/>
      <c r="AC34" s="71"/>
      <c r="AD34" s="71"/>
    </row>
    <row r="35" spans="1:30" s="70" customFormat="1" ht="23.25">
      <c r="A35" s="71"/>
      <c r="B35" s="1014" t="s">
        <v>482</v>
      </c>
      <c r="C35" s="1014"/>
      <c r="D35" s="1014"/>
      <c r="E35" s="96"/>
      <c r="F35" s="69"/>
      <c r="G35" s="73"/>
      <c r="I35" s="69"/>
      <c r="J35" s="69"/>
      <c r="K35" s="69"/>
      <c r="L35" s="69"/>
      <c r="N35" s="69"/>
      <c r="O35" s="69"/>
      <c r="P35" s="69"/>
      <c r="Q35" s="69"/>
      <c r="R35" s="71"/>
      <c r="S35" s="71"/>
      <c r="T35" s="71"/>
      <c r="U35" s="71"/>
      <c r="V35" s="71"/>
      <c r="W35" s="71"/>
      <c r="X35" s="71"/>
      <c r="Y35" s="71"/>
      <c r="Z35" s="71"/>
      <c r="AA35" s="71"/>
      <c r="AB35" s="71"/>
      <c r="AC35" s="71"/>
      <c r="AD35" s="71"/>
    </row>
    <row r="36" spans="1:30" s="70" customFormat="1" ht="23.25">
      <c r="A36" s="71"/>
      <c r="B36" s="1015" t="s">
        <v>483</v>
      </c>
      <c r="C36" s="1015"/>
      <c r="D36" s="100">
        <v>2034703.64</v>
      </c>
      <c r="E36" s="96"/>
      <c r="F36" s="69"/>
      <c r="G36" s="73"/>
      <c r="I36" s="69"/>
      <c r="J36" s="69"/>
      <c r="K36" s="69"/>
      <c r="L36" s="69"/>
      <c r="N36" s="69"/>
      <c r="O36" s="69"/>
      <c r="P36" s="69"/>
      <c r="Q36" s="69"/>
      <c r="R36" s="71"/>
      <c r="S36" s="71"/>
      <c r="T36" s="71"/>
      <c r="U36" s="71"/>
      <c r="V36" s="71"/>
      <c r="W36" s="71"/>
      <c r="X36" s="71"/>
      <c r="Y36" s="71"/>
      <c r="Z36" s="71"/>
      <c r="AA36" s="71"/>
      <c r="AB36" s="71"/>
      <c r="AC36" s="71"/>
      <c r="AD36" s="71"/>
    </row>
    <row r="37" spans="1:30" s="70" customFormat="1" ht="23.25">
      <c r="A37" s="71"/>
      <c r="B37" s="1015" t="s">
        <v>484</v>
      </c>
      <c r="C37" s="1015"/>
      <c r="D37" s="100">
        <v>3618299.99</v>
      </c>
      <c r="E37" s="96"/>
      <c r="F37" s="69"/>
      <c r="G37" s="73"/>
      <c r="I37" s="69"/>
      <c r="J37" s="69"/>
      <c r="K37" s="69"/>
      <c r="L37" s="69"/>
      <c r="N37" s="69"/>
      <c r="O37" s="69"/>
      <c r="P37" s="69"/>
      <c r="Q37" s="69"/>
      <c r="R37" s="71"/>
      <c r="S37" s="71"/>
      <c r="T37" s="71"/>
      <c r="U37" s="71"/>
      <c r="V37" s="71"/>
      <c r="W37" s="71"/>
      <c r="X37" s="71"/>
      <c r="Y37" s="71"/>
      <c r="Z37" s="71"/>
      <c r="AA37" s="71"/>
      <c r="AB37" s="71"/>
      <c r="AC37" s="71"/>
      <c r="AD37" s="71"/>
    </row>
    <row r="38" spans="1:30" s="70" customFormat="1" ht="23.25">
      <c r="A38" s="71"/>
      <c r="B38" s="1015" t="s">
        <v>485</v>
      </c>
      <c r="C38" s="1015"/>
      <c r="D38" s="100">
        <v>34154576.020000003</v>
      </c>
      <c r="E38" s="101" t="s">
        <v>486</v>
      </c>
      <c r="F38" s="69"/>
      <c r="G38" s="73"/>
      <c r="I38" s="69"/>
      <c r="J38" s="69"/>
      <c r="K38" s="69"/>
      <c r="L38" s="69"/>
      <c r="N38" s="69"/>
      <c r="O38" s="69"/>
      <c r="P38" s="69"/>
      <c r="Q38" s="69"/>
      <c r="R38" s="71"/>
      <c r="S38" s="71"/>
      <c r="T38" s="71"/>
      <c r="U38" s="71"/>
      <c r="V38" s="71"/>
      <c r="W38" s="71"/>
      <c r="X38" s="71"/>
      <c r="Y38" s="71"/>
      <c r="Z38" s="71"/>
      <c r="AA38" s="71"/>
      <c r="AB38" s="71"/>
      <c r="AC38" s="71"/>
      <c r="AD38" s="71"/>
    </row>
    <row r="39" spans="1:30" s="70" customFormat="1" ht="23.25">
      <c r="A39" s="71"/>
      <c r="B39" s="1015" t="s">
        <v>487</v>
      </c>
      <c r="C39" s="1015"/>
      <c r="D39" s="102">
        <f>D37/D36</f>
        <v>1.7782933685615301</v>
      </c>
      <c r="E39" s="103" t="str">
        <f>IF(D39&gt;=1,"ok","desclassificar")</f>
        <v>ok</v>
      </c>
      <c r="F39" s="69"/>
      <c r="G39" s="73"/>
      <c r="I39" s="69"/>
      <c r="J39" s="69"/>
      <c r="K39" s="69"/>
      <c r="L39" s="69"/>
      <c r="N39" s="69"/>
      <c r="O39" s="69"/>
      <c r="P39" s="69"/>
      <c r="Q39" s="69"/>
      <c r="R39" s="71"/>
      <c r="S39" s="71"/>
      <c r="T39" s="71"/>
      <c r="U39" s="71"/>
      <c r="V39" s="71"/>
      <c r="W39" s="71"/>
      <c r="X39" s="71"/>
      <c r="Y39" s="71"/>
      <c r="Z39" s="71"/>
      <c r="AA39" s="71"/>
      <c r="AB39" s="71"/>
      <c r="AC39" s="71"/>
      <c r="AD39" s="71"/>
    </row>
    <row r="40" spans="1:30" s="70" customFormat="1" ht="23.25">
      <c r="A40" s="71"/>
      <c r="B40" s="1015" t="s">
        <v>488</v>
      </c>
      <c r="C40" s="1015"/>
      <c r="D40" s="104">
        <f>(D38/12-D36)/(D38/12)</f>
        <v>0.28511940345263298</v>
      </c>
      <c r="E40" s="105" t="str">
        <f>IF(ABS(D40)&lt;=10%,"ok","justificar")</f>
        <v>justificar</v>
      </c>
      <c r="F40" s="69"/>
      <c r="G40" s="73"/>
      <c r="I40" s="69"/>
      <c r="J40" s="69"/>
      <c r="K40" s="69"/>
      <c r="L40" s="69"/>
      <c r="N40" s="69"/>
      <c r="O40" s="69"/>
      <c r="P40" s="69"/>
      <c r="Q40" s="69"/>
      <c r="R40" s="71"/>
      <c r="S40" s="71"/>
      <c r="T40" s="71"/>
      <c r="U40" s="71"/>
      <c r="V40" s="71"/>
      <c r="W40" s="71"/>
      <c r="X40" s="71"/>
      <c r="Y40" s="71"/>
      <c r="Z40" s="71"/>
      <c r="AA40" s="71"/>
      <c r="AB40" s="71"/>
      <c r="AC40" s="71"/>
      <c r="AD40" s="71"/>
    </row>
    <row r="41" spans="1:30" s="70" customFormat="1">
      <c r="A41" s="71"/>
      <c r="B41" s="71"/>
      <c r="C41" s="71"/>
      <c r="D41" s="71"/>
      <c r="E41" s="72"/>
      <c r="F41" s="69"/>
      <c r="G41" s="73"/>
      <c r="I41" s="69"/>
      <c r="J41" s="69"/>
      <c r="K41" s="69"/>
      <c r="L41" s="69"/>
      <c r="N41" s="69"/>
      <c r="O41" s="69"/>
      <c r="P41" s="69"/>
      <c r="Q41" s="69"/>
      <c r="R41" s="71"/>
      <c r="S41" s="71"/>
      <c r="T41" s="71"/>
      <c r="U41" s="71"/>
      <c r="V41" s="71"/>
      <c r="W41" s="71"/>
      <c r="X41" s="71"/>
      <c r="Y41" s="71"/>
      <c r="Z41" s="71"/>
      <c r="AA41" s="71"/>
      <c r="AB41" s="71"/>
      <c r="AC41" s="71"/>
      <c r="AD41" s="71"/>
    </row>
  </sheetData>
  <mergeCells count="25">
    <mergeCell ref="B38:C38"/>
    <mergeCell ref="B39:C39"/>
    <mergeCell ref="B40:C40"/>
    <mergeCell ref="F4:F5"/>
    <mergeCell ref="G4:G5"/>
    <mergeCell ref="B6:C9"/>
    <mergeCell ref="B10:C13"/>
    <mergeCell ref="B3:D4"/>
    <mergeCell ref="F3:H3"/>
    <mergeCell ref="K28:L28"/>
    <mergeCell ref="B32:D32"/>
    <mergeCell ref="B35:D35"/>
    <mergeCell ref="B36:C36"/>
    <mergeCell ref="B37:C37"/>
    <mergeCell ref="K23:L23"/>
    <mergeCell ref="K24:L24"/>
    <mergeCell ref="K25:L25"/>
    <mergeCell ref="K26:L26"/>
    <mergeCell ref="K27:L27"/>
    <mergeCell ref="K3:M3"/>
    <mergeCell ref="B5:C5"/>
    <mergeCell ref="F18:G18"/>
    <mergeCell ref="K18:L18"/>
    <mergeCell ref="K4:K5"/>
    <mergeCell ref="L4:L5"/>
  </mergeCells>
  <conditionalFormatting sqref="D33">
    <cfRule type="expression" dxfId="11" priority="1">
      <formula>$D$37&lt;$D$34</formula>
    </cfRule>
    <cfRule type="expression" dxfId="10" priority="2">
      <formula>$D$37&gt;=$D$34</formula>
    </cfRule>
  </conditionalFormatting>
  <conditionalFormatting sqref="E39">
    <cfRule type="expression" dxfId="9" priority="5">
      <formula>$D$39&lt;1</formula>
    </cfRule>
    <cfRule type="expression" dxfId="8" priority="6">
      <formula>$D$39&gt;=1</formula>
    </cfRule>
  </conditionalFormatting>
  <conditionalFormatting sqref="E40">
    <cfRule type="expression" dxfId="7" priority="3">
      <formula>ABS($D$40)&gt;10%</formula>
    </cfRule>
    <cfRule type="expression" dxfId="6" priority="4">
      <formula>ABS($D$40)&lt;=10%</formula>
    </cfRule>
  </conditionalFormatting>
  <printOptions horizontalCentered="1" verticalCentered="1"/>
  <pageMargins left="0.511811023622047" right="0.511811023622047" top="0.78740157480314998" bottom="0.78740157480314998" header="0.31496062992126" footer="0.31496062992126"/>
  <pageSetup paperSize="9" scale="31"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AD44"/>
  <sheetViews>
    <sheetView showGridLines="0" zoomScale="80" zoomScaleNormal="80" workbookViewId="0">
      <selection activeCell="G41" sqref="G41"/>
    </sheetView>
  </sheetViews>
  <sheetFormatPr defaultColWidth="9.140625" defaultRowHeight="18"/>
  <cols>
    <col min="1" max="1" width="9.140625" style="2"/>
    <col min="2" max="2" width="48.42578125" style="2" customWidth="1"/>
    <col min="3" max="3" width="35.28515625" style="2" customWidth="1"/>
    <col min="4" max="4" width="28.5703125" style="2" customWidth="1"/>
    <col min="5" max="5" width="32" style="3" customWidth="1"/>
    <col min="6" max="6" width="9.140625" style="1"/>
    <col min="7" max="7" width="14.85546875" style="4" customWidth="1"/>
    <col min="8" max="8" width="25.5703125" style="5" customWidth="1"/>
    <col min="9" max="9" width="22.140625" style="1" customWidth="1"/>
    <col min="10" max="10" width="23.85546875" style="5" customWidth="1"/>
    <col min="11" max="11" width="23.28515625" style="5" customWidth="1"/>
    <col min="12" max="12" width="18" style="1" customWidth="1"/>
    <col min="13" max="13" width="21" style="1" customWidth="1"/>
    <col min="14" max="14" width="21.28515625" style="1" customWidth="1"/>
    <col min="15" max="15" width="13.5703125" style="6" customWidth="1"/>
    <col min="16" max="16" width="21.85546875" style="1" customWidth="1"/>
    <col min="17" max="17" width="9.28515625" style="1" customWidth="1"/>
    <col min="18" max="18" width="14.85546875" style="1" customWidth="1"/>
    <col min="19" max="19" width="24.5703125" style="5" customWidth="1"/>
    <col min="20" max="20" width="26.5703125" style="1" customWidth="1"/>
    <col min="21" max="22" width="23.7109375" style="5" customWidth="1"/>
    <col min="23" max="24" width="21.85546875" style="5" customWidth="1"/>
    <col min="25" max="25" width="25.7109375" style="5" customWidth="1"/>
    <col min="26" max="26" width="15.42578125" style="1" customWidth="1"/>
    <col min="27" max="30" width="9.140625" style="1"/>
    <col min="31" max="16384" width="9.140625" style="2"/>
  </cols>
  <sheetData>
    <row r="2" spans="2:26">
      <c r="B2" s="7"/>
      <c r="C2" s="7"/>
      <c r="D2" s="7"/>
      <c r="P2" s="17"/>
    </row>
    <row r="3" spans="2:26" ht="18" customHeight="1">
      <c r="B3" s="1044" t="s">
        <v>449</v>
      </c>
      <c r="C3" s="1044"/>
      <c r="D3" s="1044"/>
      <c r="E3" s="8"/>
      <c r="F3" s="1026" t="s">
        <v>450</v>
      </c>
      <c r="G3" s="1027"/>
      <c r="H3" s="1028"/>
      <c r="I3" s="41" t="s">
        <v>355</v>
      </c>
      <c r="Q3" s="1029" t="s">
        <v>450</v>
      </c>
      <c r="R3" s="1030"/>
      <c r="S3" s="1030"/>
      <c r="T3" s="63" t="s">
        <v>357</v>
      </c>
    </row>
    <row r="4" spans="2:26" s="1" customFormat="1">
      <c r="B4" s="1044"/>
      <c r="C4" s="1044"/>
      <c r="D4" s="1044"/>
      <c r="E4" s="8"/>
      <c r="F4" s="1038" t="s">
        <v>1</v>
      </c>
      <c r="G4" s="1040" t="s">
        <v>371</v>
      </c>
      <c r="H4" s="9" t="s">
        <v>195</v>
      </c>
      <c r="I4" s="42" t="s">
        <v>197</v>
      </c>
      <c r="J4" s="43" t="s">
        <v>199</v>
      </c>
      <c r="K4" s="16" t="s">
        <v>201</v>
      </c>
      <c r="L4" s="13" t="s">
        <v>203</v>
      </c>
      <c r="M4" s="13" t="s">
        <v>205</v>
      </c>
      <c r="N4" s="44" t="s">
        <v>207</v>
      </c>
      <c r="O4" s="45" t="s">
        <v>211</v>
      </c>
      <c r="Q4" s="1042" t="s">
        <v>1</v>
      </c>
      <c r="R4" s="1043" t="s">
        <v>371</v>
      </c>
      <c r="S4" s="13" t="s">
        <v>195</v>
      </c>
      <c r="T4" s="42" t="s">
        <v>197</v>
      </c>
      <c r="U4" s="43" t="s">
        <v>199</v>
      </c>
      <c r="V4" s="16" t="s">
        <v>201</v>
      </c>
      <c r="W4" s="13" t="s">
        <v>203</v>
      </c>
      <c r="X4" s="13" t="s">
        <v>205</v>
      </c>
      <c r="Y4" s="44" t="s">
        <v>207</v>
      </c>
      <c r="Z4" s="45" t="s">
        <v>211</v>
      </c>
    </row>
    <row r="5" spans="2:26" s="1" customFormat="1" ht="83.25" customHeight="1">
      <c r="B5" s="1031" t="s">
        <v>451</v>
      </c>
      <c r="C5" s="1031"/>
      <c r="D5" s="10" t="s">
        <v>452</v>
      </c>
      <c r="E5" s="11" t="s">
        <v>453</v>
      </c>
      <c r="F5" s="1039"/>
      <c r="G5" s="1041"/>
      <c r="H5" s="12" t="s">
        <v>454</v>
      </c>
      <c r="I5" s="46" t="s">
        <v>455</v>
      </c>
      <c r="J5" s="47" t="s">
        <v>489</v>
      </c>
      <c r="K5" s="48" t="s">
        <v>490</v>
      </c>
      <c r="L5" s="48" t="s">
        <v>491</v>
      </c>
      <c r="M5" s="49" t="s">
        <v>492</v>
      </c>
      <c r="N5" s="49" t="s">
        <v>493</v>
      </c>
      <c r="O5" s="50" t="s">
        <v>494</v>
      </c>
      <c r="P5" s="11" t="s">
        <v>456</v>
      </c>
      <c r="Q5" s="1042"/>
      <c r="R5" s="1043"/>
      <c r="S5" s="64" t="s">
        <v>454</v>
      </c>
      <c r="T5" s="46" t="s">
        <v>495</v>
      </c>
      <c r="U5" s="47" t="s">
        <v>489</v>
      </c>
      <c r="V5" s="48" t="s">
        <v>496</v>
      </c>
      <c r="W5" s="48" t="s">
        <v>491</v>
      </c>
      <c r="X5" s="49" t="s">
        <v>492</v>
      </c>
      <c r="Y5" s="49" t="s">
        <v>497</v>
      </c>
      <c r="Z5" s="50" t="s">
        <v>498</v>
      </c>
    </row>
    <row r="6" spans="2:26" s="1" customFormat="1" ht="33" customHeight="1">
      <c r="B6" s="1045" t="s">
        <v>457</v>
      </c>
      <c r="C6" s="1045"/>
      <c r="D6" s="13" t="s">
        <v>458</v>
      </c>
      <c r="E6" s="5">
        <f>((760428.18)/(1.65/100))</f>
        <v>46086556.363636397</v>
      </c>
      <c r="F6" s="14">
        <v>1</v>
      </c>
      <c r="G6" s="15">
        <v>42736</v>
      </c>
      <c r="H6" s="16">
        <f>E6</f>
        <v>46086556.363636397</v>
      </c>
      <c r="I6" s="51">
        <f>1.65/100*H6</f>
        <v>760428.18</v>
      </c>
      <c r="J6" s="52">
        <v>111950.47</v>
      </c>
      <c r="K6" s="53">
        <v>240917.06</v>
      </c>
      <c r="L6" s="25">
        <f>I6-J6-K6</f>
        <v>407560.65</v>
      </c>
      <c r="M6" s="54">
        <v>0</v>
      </c>
      <c r="N6" s="16">
        <f>I6-J6-M6</f>
        <v>648477.71</v>
      </c>
      <c r="O6" s="55">
        <f>IFERROR(N6/H6," ")</f>
        <v>1.4070864936909599E-2</v>
      </c>
      <c r="P6" s="5">
        <f>3505499.66/(7.6/100)</f>
        <v>46124995.526315801</v>
      </c>
      <c r="Q6" s="14">
        <v>1</v>
      </c>
      <c r="R6" s="15">
        <f>G6</f>
        <v>42736</v>
      </c>
      <c r="S6" s="16">
        <f>P6</f>
        <v>46124995.526315801</v>
      </c>
      <c r="T6" s="51">
        <f>7.6/100*S6</f>
        <v>3505499.66</v>
      </c>
      <c r="U6" s="52">
        <v>515645.49</v>
      </c>
      <c r="V6" s="53">
        <v>1111688.78</v>
      </c>
      <c r="W6" s="25">
        <f t="shared" ref="W6:W17" si="0">T6-U6-V6</f>
        <v>1878165.39</v>
      </c>
      <c r="X6" s="54">
        <v>0</v>
      </c>
      <c r="Y6" s="16">
        <f>T6-U6-X6</f>
        <v>2989854.17</v>
      </c>
      <c r="Z6" s="55">
        <f>IFERROR(Y6/S6," ")</f>
        <v>6.4820692899453899E-2</v>
      </c>
    </row>
    <row r="7" spans="2:26" s="1" customFormat="1" ht="33" customHeight="1">
      <c r="B7" s="1045"/>
      <c r="C7" s="1045"/>
      <c r="D7" s="13" t="s">
        <v>459</v>
      </c>
      <c r="E7" s="5">
        <f>799564.14/(1.65/100)</f>
        <v>48458432.727272697</v>
      </c>
      <c r="F7" s="14">
        <f t="shared" ref="F7:F17" si="1">1+F6</f>
        <v>2</v>
      </c>
      <c r="G7" s="15">
        <v>42767</v>
      </c>
      <c r="H7" s="16">
        <f t="shared" ref="H7:H17" si="2">E7</f>
        <v>48458432.727272697</v>
      </c>
      <c r="I7" s="51">
        <f t="shared" ref="I7:I17" si="3">1.65/100*H7</f>
        <v>799564.14</v>
      </c>
      <c r="J7" s="52">
        <v>142415.47</v>
      </c>
      <c r="K7" s="53">
        <v>190177.41</v>
      </c>
      <c r="L7" s="25">
        <f>I7-J7-K7</f>
        <v>466971.26</v>
      </c>
      <c r="M7" s="54">
        <v>0</v>
      </c>
      <c r="N7" s="16">
        <f>I7-J7-M7</f>
        <v>657148.67000000004</v>
      </c>
      <c r="O7" s="55">
        <f>IFERROR(N7/H7," ")</f>
        <v>1.35610797340161E-2</v>
      </c>
      <c r="P7" s="5">
        <f>3684539.27/(7.6/100)</f>
        <v>48480779.8684211</v>
      </c>
      <c r="Q7" s="14">
        <f t="shared" ref="Q7:Q17" si="4">Q6+1</f>
        <v>2</v>
      </c>
      <c r="R7" s="15">
        <f t="shared" ref="R7:R17" si="5">G7</f>
        <v>42767</v>
      </c>
      <c r="S7" s="16">
        <f>P7</f>
        <v>48480779.8684211</v>
      </c>
      <c r="T7" s="51">
        <f t="shared" ref="T7:T17" si="6">7.6/100*S7</f>
        <v>3684539.27</v>
      </c>
      <c r="U7" s="52">
        <v>655965.89</v>
      </c>
      <c r="V7" s="53">
        <v>877797.19</v>
      </c>
      <c r="W7" s="25">
        <f t="shared" si="0"/>
        <v>2150776.19</v>
      </c>
      <c r="X7" s="54">
        <v>0</v>
      </c>
      <c r="Y7" s="16">
        <f>T7-U7-X7</f>
        <v>3028573.38</v>
      </c>
      <c r="Z7" s="55">
        <f>IFERROR(Y7/S7," ")</f>
        <v>6.2469568109664898E-2</v>
      </c>
    </row>
    <row r="8" spans="2:26" s="1" customFormat="1" ht="33" customHeight="1">
      <c r="B8" s="1045"/>
      <c r="C8" s="1045"/>
      <c r="D8" s="13" t="s">
        <v>460</v>
      </c>
      <c r="E8" s="5">
        <f>989249.6/(1.65/100)</f>
        <v>59954521.212121204</v>
      </c>
      <c r="F8" s="14">
        <f t="shared" si="1"/>
        <v>3</v>
      </c>
      <c r="G8" s="15">
        <v>42795</v>
      </c>
      <c r="H8" s="16">
        <f t="shared" si="2"/>
        <v>59954521.212121204</v>
      </c>
      <c r="I8" s="51">
        <f t="shared" si="3"/>
        <v>989249.6</v>
      </c>
      <c r="J8" s="52">
        <v>213753.13</v>
      </c>
      <c r="K8" s="53">
        <v>250915.59</v>
      </c>
      <c r="L8" s="25">
        <f t="shared" ref="L8:L17" si="7">I8-J8-K8</f>
        <v>524580.88</v>
      </c>
      <c r="M8" s="54">
        <v>0</v>
      </c>
      <c r="N8" s="16">
        <f t="shared" ref="N8:N17" si="8">I8-J8-M8</f>
        <v>775496.47</v>
      </c>
      <c r="O8" s="55">
        <f t="shared" ref="O8:O17" si="9">IFERROR(N8/H8," ")</f>
        <v>1.2934745442404E-2</v>
      </c>
      <c r="P8" s="5">
        <f>4559760.78/(7.6/100)</f>
        <v>59996852.3684211</v>
      </c>
      <c r="Q8" s="14">
        <f t="shared" si="4"/>
        <v>3</v>
      </c>
      <c r="R8" s="15">
        <f t="shared" si="5"/>
        <v>42795</v>
      </c>
      <c r="S8" s="16">
        <f t="shared" ref="S8:S17" si="10">P8</f>
        <v>59996852.3684211</v>
      </c>
      <c r="T8" s="51">
        <f t="shared" si="6"/>
        <v>4559760.78</v>
      </c>
      <c r="U8" s="52">
        <v>984553.16</v>
      </c>
      <c r="V8" s="53">
        <v>1128191.17</v>
      </c>
      <c r="W8" s="25">
        <f t="shared" si="0"/>
        <v>2447016.4500000002</v>
      </c>
      <c r="X8" s="54">
        <v>0</v>
      </c>
      <c r="Y8" s="16">
        <f t="shared" ref="Y8:Y17" si="11">T8-U8-X8</f>
        <v>3575207.62</v>
      </c>
      <c r="Z8" s="55">
        <f t="shared" ref="Z8:Z17" si="12">IFERROR(Y8/S8," ")</f>
        <v>5.9589919785221698E-2</v>
      </c>
    </row>
    <row r="9" spans="2:26" s="1" customFormat="1" ht="33" customHeight="1">
      <c r="B9" s="1045"/>
      <c r="C9" s="1045"/>
      <c r="D9" s="13" t="s">
        <v>461</v>
      </c>
      <c r="E9" s="17">
        <f>643812.86/(1.65/100)</f>
        <v>39018961.212121204</v>
      </c>
      <c r="F9" s="14">
        <f t="shared" si="1"/>
        <v>4</v>
      </c>
      <c r="G9" s="15">
        <v>42826</v>
      </c>
      <c r="H9" s="16">
        <f t="shared" si="2"/>
        <v>39018961.212121204</v>
      </c>
      <c r="I9" s="51">
        <f t="shared" si="3"/>
        <v>643812.86</v>
      </c>
      <c r="J9" s="52">
        <v>133443.76999999999</v>
      </c>
      <c r="K9" s="53">
        <v>185119.77</v>
      </c>
      <c r="L9" s="25">
        <f t="shared" si="7"/>
        <v>325249.32</v>
      </c>
      <c r="M9" s="54">
        <v>0</v>
      </c>
      <c r="N9" s="16">
        <f t="shared" si="8"/>
        <v>510369.09</v>
      </c>
      <c r="O9" s="55">
        <f t="shared" si="9"/>
        <v>1.3080027610818499E-2</v>
      </c>
      <c r="P9" s="17">
        <f>2966484.87/(7.6/100)</f>
        <v>39032695.657894701</v>
      </c>
      <c r="Q9" s="14">
        <f t="shared" si="4"/>
        <v>4</v>
      </c>
      <c r="R9" s="15">
        <f t="shared" si="5"/>
        <v>42826</v>
      </c>
      <c r="S9" s="16">
        <f t="shared" si="10"/>
        <v>39032695.657894701</v>
      </c>
      <c r="T9" s="51">
        <f t="shared" si="6"/>
        <v>2966484.87</v>
      </c>
      <c r="U9" s="52">
        <v>614641.67000000004</v>
      </c>
      <c r="V9" s="53">
        <v>711667</v>
      </c>
      <c r="W9" s="25">
        <f t="shared" si="0"/>
        <v>1640176.2</v>
      </c>
      <c r="X9" s="54">
        <v>0</v>
      </c>
      <c r="Y9" s="16">
        <f t="shared" si="11"/>
        <v>2351843.2000000002</v>
      </c>
      <c r="Z9" s="55">
        <f t="shared" si="12"/>
        <v>6.0253158547206802E-2</v>
      </c>
    </row>
    <row r="10" spans="2:26" s="1" customFormat="1" ht="33" customHeight="1">
      <c r="B10" s="1046" t="s">
        <v>462</v>
      </c>
      <c r="C10" s="1046"/>
      <c r="D10" s="13" t="s">
        <v>463</v>
      </c>
      <c r="E10" s="5">
        <f>(1059889.75/(1.65/100))</f>
        <v>64235742.4242424</v>
      </c>
      <c r="F10" s="14">
        <f t="shared" si="1"/>
        <v>5</v>
      </c>
      <c r="G10" s="15">
        <v>42856</v>
      </c>
      <c r="H10" s="16">
        <f t="shared" si="2"/>
        <v>64235742.4242424</v>
      </c>
      <c r="I10" s="51">
        <f t="shared" si="3"/>
        <v>1059889.75</v>
      </c>
      <c r="J10" s="52">
        <v>189814.11</v>
      </c>
      <c r="K10" s="53">
        <v>278704.02</v>
      </c>
      <c r="L10" s="25">
        <f t="shared" si="7"/>
        <v>591371.62</v>
      </c>
      <c r="M10" s="54">
        <v>0</v>
      </c>
      <c r="N10" s="16">
        <f t="shared" si="8"/>
        <v>870075.64</v>
      </c>
      <c r="O10" s="55">
        <f t="shared" si="9"/>
        <v>1.35450390571283E-2</v>
      </c>
      <c r="P10" s="5">
        <f>4882447.53/(7.6/100)</f>
        <v>64242730.657894701</v>
      </c>
      <c r="Q10" s="14">
        <f t="shared" si="4"/>
        <v>5</v>
      </c>
      <c r="R10" s="15">
        <f t="shared" si="5"/>
        <v>42856</v>
      </c>
      <c r="S10" s="16">
        <f t="shared" si="10"/>
        <v>64242730.657894701</v>
      </c>
      <c r="T10" s="51">
        <f t="shared" si="6"/>
        <v>4882447.53</v>
      </c>
      <c r="U10" s="52">
        <v>874288.89</v>
      </c>
      <c r="V10" s="53">
        <v>1155238.94</v>
      </c>
      <c r="W10" s="25">
        <f t="shared" si="0"/>
        <v>2852919.7</v>
      </c>
      <c r="X10" s="54">
        <v>0</v>
      </c>
      <c r="Y10" s="16">
        <f t="shared" si="11"/>
        <v>4008158.64</v>
      </c>
      <c r="Z10" s="55">
        <f t="shared" si="12"/>
        <v>6.2390851057440799E-2</v>
      </c>
    </row>
    <row r="11" spans="2:26" s="1" customFormat="1" ht="33" customHeight="1">
      <c r="B11" s="1046"/>
      <c r="C11" s="1046"/>
      <c r="D11" s="13" t="s">
        <v>464</v>
      </c>
      <c r="E11" s="5">
        <f>980805.33/(1.65/100)</f>
        <v>59442747.272727303</v>
      </c>
      <c r="F11" s="14">
        <f t="shared" si="1"/>
        <v>6</v>
      </c>
      <c r="G11" s="15">
        <v>42887</v>
      </c>
      <c r="H11" s="16">
        <f t="shared" si="2"/>
        <v>59442747.272727303</v>
      </c>
      <c r="I11" s="51">
        <f t="shared" si="3"/>
        <v>980805.33</v>
      </c>
      <c r="J11" s="52">
        <v>165806.93</v>
      </c>
      <c r="K11" s="53">
        <v>266064.67</v>
      </c>
      <c r="L11" s="25">
        <f t="shared" si="7"/>
        <v>548933.73</v>
      </c>
      <c r="M11" s="54">
        <v>0</v>
      </c>
      <c r="N11" s="16">
        <f t="shared" si="8"/>
        <v>814998.4</v>
      </c>
      <c r="O11" s="55">
        <f t="shared" si="9"/>
        <v>1.37106449044277E-2</v>
      </c>
      <c r="P11" s="5">
        <f>4517746.71/(7.6/100)</f>
        <v>59444035.657894701</v>
      </c>
      <c r="Q11" s="14">
        <f t="shared" si="4"/>
        <v>6</v>
      </c>
      <c r="R11" s="15">
        <f t="shared" si="5"/>
        <v>42887</v>
      </c>
      <c r="S11" s="16">
        <f t="shared" si="10"/>
        <v>59444035.657894701</v>
      </c>
      <c r="T11" s="51">
        <f t="shared" si="6"/>
        <v>4517746.71</v>
      </c>
      <c r="U11" s="52">
        <v>763708.52</v>
      </c>
      <c r="V11" s="53">
        <v>1227773.3500000001</v>
      </c>
      <c r="W11" s="25">
        <f t="shared" si="0"/>
        <v>2526264.84</v>
      </c>
      <c r="X11" s="54">
        <v>0</v>
      </c>
      <c r="Y11" s="16">
        <f t="shared" si="11"/>
        <v>3754038.19</v>
      </c>
      <c r="Z11" s="55">
        <f t="shared" si="12"/>
        <v>6.3152478603653306E-2</v>
      </c>
    </row>
    <row r="12" spans="2:26" s="1" customFormat="1" ht="33" customHeight="1">
      <c r="B12" s="1046"/>
      <c r="C12" s="1046"/>
      <c r="D12" s="13" t="s">
        <v>465</v>
      </c>
      <c r="E12" s="5">
        <f>655570.17/(1.65/100)</f>
        <v>39731525.454545498</v>
      </c>
      <c r="F12" s="14">
        <f t="shared" si="1"/>
        <v>7</v>
      </c>
      <c r="G12" s="15">
        <v>42917</v>
      </c>
      <c r="H12" s="16">
        <f t="shared" si="2"/>
        <v>39731525.454545498</v>
      </c>
      <c r="I12" s="51">
        <f t="shared" si="3"/>
        <v>655570.17000000004</v>
      </c>
      <c r="J12" s="52">
        <v>171012.36</v>
      </c>
      <c r="K12" s="53">
        <v>234715.21</v>
      </c>
      <c r="L12" s="25">
        <f t="shared" si="7"/>
        <v>249842.6</v>
      </c>
      <c r="M12" s="54">
        <v>0</v>
      </c>
      <c r="N12" s="16">
        <f t="shared" si="8"/>
        <v>484557.81</v>
      </c>
      <c r="O12" s="55">
        <f t="shared" si="9"/>
        <v>1.2195801808676E-2</v>
      </c>
      <c r="P12" s="5">
        <f>4372918.76/(7.6/100)</f>
        <v>57538404.736842103</v>
      </c>
      <c r="Q12" s="14">
        <f t="shared" si="4"/>
        <v>7</v>
      </c>
      <c r="R12" s="15">
        <f t="shared" si="5"/>
        <v>42917</v>
      </c>
      <c r="S12" s="16">
        <f t="shared" si="10"/>
        <v>57538404.736842103</v>
      </c>
      <c r="T12" s="51">
        <f t="shared" si="6"/>
        <v>4372918.76</v>
      </c>
      <c r="U12" s="52">
        <v>787683.69</v>
      </c>
      <c r="V12" s="53">
        <v>1225278.18</v>
      </c>
      <c r="W12" s="25">
        <f t="shared" si="0"/>
        <v>2359956.89</v>
      </c>
      <c r="X12" s="54">
        <v>0</v>
      </c>
      <c r="Y12" s="16">
        <f t="shared" si="11"/>
        <v>3585235.07</v>
      </c>
      <c r="Z12" s="55">
        <f t="shared" si="12"/>
        <v>6.2310296686142901E-2</v>
      </c>
    </row>
    <row r="13" spans="2:26" s="1" customFormat="1" ht="33" customHeight="1">
      <c r="B13" s="1046"/>
      <c r="C13" s="1046"/>
      <c r="D13" s="13" t="s">
        <v>466</v>
      </c>
      <c r="E13" s="5">
        <f>(1026600.61/(1.65/100))</f>
        <v>62218218.787878796</v>
      </c>
      <c r="F13" s="14">
        <f t="shared" si="1"/>
        <v>8</v>
      </c>
      <c r="G13" s="15">
        <v>42948</v>
      </c>
      <c r="H13" s="16">
        <f t="shared" si="2"/>
        <v>62218218.787878796</v>
      </c>
      <c r="I13" s="51">
        <f t="shared" si="3"/>
        <v>1026600.61</v>
      </c>
      <c r="J13" s="52">
        <v>188774.98</v>
      </c>
      <c r="K13" s="53">
        <v>242585.25</v>
      </c>
      <c r="L13" s="25">
        <f t="shared" si="7"/>
        <v>595240.38</v>
      </c>
      <c r="M13" s="54">
        <v>0</v>
      </c>
      <c r="N13" s="16">
        <f t="shared" si="8"/>
        <v>837825.63</v>
      </c>
      <c r="O13" s="55">
        <f t="shared" si="9"/>
        <v>1.3465921177467401E-2</v>
      </c>
      <c r="P13" s="5">
        <f>4395989.51/(7.6/100)</f>
        <v>57841967.236842103</v>
      </c>
      <c r="Q13" s="14">
        <f t="shared" si="4"/>
        <v>8</v>
      </c>
      <c r="R13" s="15">
        <f t="shared" si="5"/>
        <v>42948</v>
      </c>
      <c r="S13" s="16">
        <f t="shared" si="10"/>
        <v>57841967.236842103</v>
      </c>
      <c r="T13" s="51">
        <f t="shared" si="6"/>
        <v>4395989.51</v>
      </c>
      <c r="U13" s="52">
        <v>869498.75</v>
      </c>
      <c r="V13" s="53">
        <v>1219264.96</v>
      </c>
      <c r="W13" s="25">
        <f t="shared" si="0"/>
        <v>2307225.7999999998</v>
      </c>
      <c r="X13" s="54">
        <v>0</v>
      </c>
      <c r="Y13" s="16">
        <f t="shared" si="11"/>
        <v>3526490.76</v>
      </c>
      <c r="Z13" s="55">
        <f t="shared" si="12"/>
        <v>6.0967683646724599E-2</v>
      </c>
    </row>
    <row r="14" spans="2:26" s="1" customFormat="1" ht="33" customHeight="1">
      <c r="D14" s="18"/>
      <c r="E14" s="5">
        <f>(828662.8/(1.65/100))</f>
        <v>50221987.878787898</v>
      </c>
      <c r="F14" s="14">
        <f t="shared" si="1"/>
        <v>9</v>
      </c>
      <c r="G14" s="15">
        <v>42979</v>
      </c>
      <c r="H14" s="16">
        <f t="shared" si="2"/>
        <v>50221987.878787898</v>
      </c>
      <c r="I14" s="51">
        <f t="shared" si="3"/>
        <v>828662.8</v>
      </c>
      <c r="J14" s="52">
        <v>166379.81</v>
      </c>
      <c r="K14" s="53">
        <v>232204.29</v>
      </c>
      <c r="L14" s="25">
        <f t="shared" si="7"/>
        <v>430078.7</v>
      </c>
      <c r="M14" s="54">
        <v>0</v>
      </c>
      <c r="N14" s="16">
        <f t="shared" si="8"/>
        <v>662282.99</v>
      </c>
      <c r="O14" s="55">
        <f t="shared" si="9"/>
        <v>1.3187112218624999E-2</v>
      </c>
      <c r="P14" s="5">
        <f>3817328.6/(7.6/100)</f>
        <v>50228007.894736797</v>
      </c>
      <c r="Q14" s="14">
        <f t="shared" si="4"/>
        <v>9</v>
      </c>
      <c r="R14" s="15">
        <f t="shared" si="5"/>
        <v>42979</v>
      </c>
      <c r="S14" s="16">
        <f t="shared" si="10"/>
        <v>50228007.894736797</v>
      </c>
      <c r="T14" s="51">
        <f t="shared" si="6"/>
        <v>3817328.6</v>
      </c>
      <c r="U14" s="52">
        <v>766345.12</v>
      </c>
      <c r="V14" s="53">
        <v>1071572.56</v>
      </c>
      <c r="W14" s="25">
        <f t="shared" si="0"/>
        <v>1979410.92</v>
      </c>
      <c r="X14" s="54">
        <v>0</v>
      </c>
      <c r="Y14" s="16">
        <f t="shared" si="11"/>
        <v>3050983.48</v>
      </c>
      <c r="Z14" s="55">
        <f t="shared" si="12"/>
        <v>6.0742673418264302E-2</v>
      </c>
    </row>
    <row r="15" spans="2:26" s="1" customFormat="1" ht="33" customHeight="1">
      <c r="D15" s="5"/>
      <c r="E15" s="5">
        <f>721381.24/(1.65/100)</f>
        <v>43720075.151515096</v>
      </c>
      <c r="F15" s="14">
        <f t="shared" si="1"/>
        <v>10</v>
      </c>
      <c r="G15" s="15">
        <v>43009</v>
      </c>
      <c r="H15" s="16">
        <f t="shared" si="2"/>
        <v>43720075.151515096</v>
      </c>
      <c r="I15" s="51">
        <f t="shared" si="3"/>
        <v>721381.24</v>
      </c>
      <c r="J15" s="52">
        <v>195932.32</v>
      </c>
      <c r="K15" s="53">
        <v>244262.6</v>
      </c>
      <c r="L15" s="25">
        <f t="shared" si="7"/>
        <v>281186.32</v>
      </c>
      <c r="M15" s="54">
        <v>0</v>
      </c>
      <c r="N15" s="16">
        <f t="shared" si="8"/>
        <v>525448.92000000004</v>
      </c>
      <c r="O15" s="55">
        <f t="shared" si="9"/>
        <v>1.20184816283828E-2</v>
      </c>
      <c r="P15" s="5">
        <f>3324599.68/(7.6/100)</f>
        <v>43744732.631578997</v>
      </c>
      <c r="Q15" s="14">
        <f t="shared" si="4"/>
        <v>10</v>
      </c>
      <c r="R15" s="15">
        <f t="shared" si="5"/>
        <v>43009</v>
      </c>
      <c r="S15" s="16">
        <f t="shared" si="10"/>
        <v>43744732.631578997</v>
      </c>
      <c r="T15" s="51">
        <f t="shared" si="6"/>
        <v>3324599.68</v>
      </c>
      <c r="U15" s="52">
        <v>902466.6</v>
      </c>
      <c r="V15" s="53">
        <v>1127366.6599999999</v>
      </c>
      <c r="W15" s="25">
        <f t="shared" si="0"/>
        <v>1294766.42</v>
      </c>
      <c r="X15" s="54">
        <v>0</v>
      </c>
      <c r="Y15" s="16">
        <f t="shared" si="11"/>
        <v>2422133.08</v>
      </c>
      <c r="Z15" s="55">
        <f t="shared" si="12"/>
        <v>5.5369708174910201E-2</v>
      </c>
    </row>
    <row r="16" spans="2:26" s="1" customFormat="1" ht="33" customHeight="1">
      <c r="D16" s="5"/>
      <c r="E16" s="5">
        <f>(738257.15/(1.65/100))</f>
        <v>44742857.5757576</v>
      </c>
      <c r="F16" s="14">
        <f t="shared" si="1"/>
        <v>11</v>
      </c>
      <c r="G16" s="19">
        <v>43040</v>
      </c>
      <c r="H16" s="16">
        <f t="shared" si="2"/>
        <v>44742857.5757576</v>
      </c>
      <c r="I16" s="51">
        <f t="shared" si="3"/>
        <v>738257.15</v>
      </c>
      <c r="J16" s="52">
        <v>156521.68</v>
      </c>
      <c r="K16" s="53">
        <v>232800.58</v>
      </c>
      <c r="L16" s="25">
        <f t="shared" si="7"/>
        <v>348934.89</v>
      </c>
      <c r="M16" s="54">
        <v>0</v>
      </c>
      <c r="N16" s="16">
        <f t="shared" si="8"/>
        <v>581735.47</v>
      </c>
      <c r="O16" s="55">
        <f t="shared" si="9"/>
        <v>1.30017504808453E-2</v>
      </c>
      <c r="P16" s="5">
        <f>3401904.09/(7.6/100)</f>
        <v>44761895.921052597</v>
      </c>
      <c r="Q16" s="14">
        <f t="shared" si="4"/>
        <v>11</v>
      </c>
      <c r="R16" s="15">
        <f t="shared" si="5"/>
        <v>43040</v>
      </c>
      <c r="S16" s="16">
        <f t="shared" si="10"/>
        <v>44761895.921052597</v>
      </c>
      <c r="T16" s="51">
        <f t="shared" si="6"/>
        <v>3401904.09</v>
      </c>
      <c r="U16" s="52">
        <v>720939.31</v>
      </c>
      <c r="V16" s="53">
        <v>1074466.43</v>
      </c>
      <c r="W16" s="25">
        <f t="shared" si="0"/>
        <v>1606498.35</v>
      </c>
      <c r="X16" s="54">
        <v>0</v>
      </c>
      <c r="Y16" s="16">
        <f t="shared" si="11"/>
        <v>2680964.7799999998</v>
      </c>
      <c r="Z16" s="55">
        <f t="shared" si="12"/>
        <v>5.9893905850825997E-2</v>
      </c>
    </row>
    <row r="17" spans="4:26" s="1" customFormat="1" ht="33" customHeight="1">
      <c r="D17" s="5"/>
      <c r="E17" s="5">
        <f>(967801.25/(1.65/100))</f>
        <v>58654621.212121204</v>
      </c>
      <c r="F17" s="20">
        <f t="shared" si="1"/>
        <v>12</v>
      </c>
      <c r="G17" s="21">
        <v>43070</v>
      </c>
      <c r="H17" s="16">
        <f t="shared" si="2"/>
        <v>58654621.212121204</v>
      </c>
      <c r="I17" s="51">
        <f t="shared" si="3"/>
        <v>967801.25</v>
      </c>
      <c r="J17" s="52">
        <v>216499.24</v>
      </c>
      <c r="K17" s="53">
        <v>367418.63</v>
      </c>
      <c r="L17" s="25">
        <f t="shared" si="7"/>
        <v>383883.38</v>
      </c>
      <c r="M17" s="54">
        <v>0</v>
      </c>
      <c r="N17" s="16">
        <f t="shared" si="8"/>
        <v>751302.01</v>
      </c>
      <c r="O17" s="55">
        <f t="shared" si="9"/>
        <v>1.28089141908011E-2</v>
      </c>
      <c r="P17" s="5">
        <f>4460148.45/(7.6/100)</f>
        <v>58686163.815789498</v>
      </c>
      <c r="Q17" s="65">
        <f t="shared" si="4"/>
        <v>12</v>
      </c>
      <c r="R17" s="15">
        <f t="shared" si="5"/>
        <v>43070</v>
      </c>
      <c r="S17" s="16">
        <f t="shared" si="10"/>
        <v>58686163.815789498</v>
      </c>
      <c r="T17" s="51">
        <f t="shared" si="6"/>
        <v>4460148.45</v>
      </c>
      <c r="U17" s="52">
        <v>997204.41</v>
      </c>
      <c r="V17" s="53">
        <v>1695795.85</v>
      </c>
      <c r="W17" s="25">
        <f t="shared" si="0"/>
        <v>1767148.19</v>
      </c>
      <c r="X17" s="54">
        <v>0</v>
      </c>
      <c r="Y17" s="16">
        <f t="shared" si="11"/>
        <v>3462944.04</v>
      </c>
      <c r="Z17" s="55">
        <f t="shared" si="12"/>
        <v>5.9007844691806199E-2</v>
      </c>
    </row>
    <row r="18" spans="4:26" s="1" customFormat="1" ht="33" customHeight="1">
      <c r="D18" s="22"/>
      <c r="E18" s="5"/>
      <c r="F18" s="1032" t="s">
        <v>467</v>
      </c>
      <c r="G18" s="1033"/>
      <c r="H18" s="23">
        <f>SUM(H6:H17)</f>
        <v>616486247.27272701</v>
      </c>
      <c r="I18" s="56"/>
      <c r="J18" s="1034" t="s">
        <v>499</v>
      </c>
      <c r="K18" s="1034"/>
      <c r="L18" s="1034"/>
      <c r="M18" s="1034"/>
      <c r="N18" s="1035"/>
      <c r="O18" s="57">
        <f>IFERROR(AVERAGE(O6:O17)," ")</f>
        <v>1.3131698599208499E-2</v>
      </c>
      <c r="Q18" s="1036" t="s">
        <v>467</v>
      </c>
      <c r="R18" s="1037"/>
      <c r="S18" s="66">
        <f>SUM(S6:S17)</f>
        <v>630123261.97368395</v>
      </c>
      <c r="T18" s="67"/>
      <c r="U18" s="1047" t="s">
        <v>500</v>
      </c>
      <c r="V18" s="1047"/>
      <c r="W18" s="1047"/>
      <c r="X18" s="1047"/>
      <c r="Y18" s="1048"/>
      <c r="Z18" s="68">
        <f>IFERROR(AVERAGE(Z6:Z17)," ")</f>
        <v>6.0914065122609599E-2</v>
      </c>
    </row>
    <row r="19" spans="4:26" s="1" customFormat="1" ht="33" customHeight="1">
      <c r="D19" s="5"/>
      <c r="E19" s="5"/>
      <c r="F19" s="24" t="s">
        <v>99</v>
      </c>
      <c r="G19" s="4"/>
      <c r="H19" s="5"/>
      <c r="J19" s="5"/>
      <c r="K19" s="5"/>
      <c r="O19" s="6"/>
      <c r="P19" s="17"/>
      <c r="Q19" s="24" t="s">
        <v>99</v>
      </c>
      <c r="R19" s="4"/>
      <c r="S19" s="5"/>
      <c r="U19" s="5"/>
      <c r="V19" s="5"/>
      <c r="Z19" s="6"/>
    </row>
    <row r="20" spans="4:26" s="1" customFormat="1" ht="33" customHeight="1">
      <c r="E20" s="5"/>
      <c r="F20" s="13" t="s">
        <v>501</v>
      </c>
      <c r="G20" s="1049" t="s">
        <v>502</v>
      </c>
      <c r="H20" s="1050"/>
      <c r="I20" s="1050"/>
      <c r="J20" s="1050"/>
      <c r="K20" s="1050"/>
      <c r="L20" s="1050"/>
      <c r="M20" s="1050"/>
      <c r="N20" s="1050"/>
      <c r="O20" s="1051"/>
      <c r="Q20" s="13" t="s">
        <v>501</v>
      </c>
      <c r="R20" s="1049" t="s">
        <v>502</v>
      </c>
      <c r="S20" s="1050"/>
      <c r="T20" s="1050"/>
      <c r="U20" s="1050"/>
      <c r="V20" s="1050"/>
      <c r="W20" s="1050"/>
      <c r="X20" s="1050"/>
      <c r="Y20" s="1050"/>
      <c r="Z20" s="1051"/>
    </row>
    <row r="21" spans="4:26" ht="36" customHeight="1">
      <c r="F21" s="13" t="s">
        <v>503</v>
      </c>
      <c r="G21" s="1049" t="s">
        <v>504</v>
      </c>
      <c r="H21" s="1050"/>
      <c r="I21" s="1050"/>
      <c r="J21" s="1050"/>
      <c r="K21" s="1050"/>
      <c r="L21" s="1050"/>
      <c r="M21" s="1050"/>
      <c r="N21" s="1050"/>
      <c r="O21" s="1051"/>
      <c r="Q21" s="13" t="s">
        <v>503</v>
      </c>
      <c r="R21" s="1049" t="s">
        <v>504</v>
      </c>
      <c r="S21" s="1050"/>
      <c r="T21" s="1050"/>
      <c r="U21" s="1050"/>
      <c r="V21" s="1050"/>
      <c r="W21" s="1050"/>
      <c r="X21" s="1050"/>
      <c r="Y21" s="1050"/>
      <c r="Z21" s="1051"/>
    </row>
    <row r="22" spans="4:26" ht="72" customHeight="1">
      <c r="F22" s="13" t="s">
        <v>505</v>
      </c>
      <c r="G22" s="1052" t="s">
        <v>506</v>
      </c>
      <c r="H22" s="1053"/>
      <c r="I22" s="1053"/>
      <c r="J22" s="1053"/>
      <c r="K22" s="1053"/>
      <c r="L22" s="1053"/>
      <c r="M22" s="1053"/>
      <c r="N22" s="1053"/>
      <c r="O22" s="1054"/>
      <c r="Q22" s="13" t="s">
        <v>505</v>
      </c>
      <c r="R22" s="1052" t="s">
        <v>506</v>
      </c>
      <c r="S22" s="1053"/>
      <c r="T22" s="1053"/>
      <c r="U22" s="1053"/>
      <c r="V22" s="1053"/>
      <c r="W22" s="1053"/>
      <c r="X22" s="1053"/>
      <c r="Y22" s="1053"/>
      <c r="Z22" s="1054"/>
    </row>
    <row r="23" spans="4:26" ht="36" customHeight="1"/>
    <row r="24" spans="4:26" s="1" customFormat="1">
      <c r="E24" s="25" t="s">
        <v>468</v>
      </c>
      <c r="F24" s="26" t="s">
        <v>469</v>
      </c>
      <c r="G24" s="27" t="s">
        <v>470</v>
      </c>
      <c r="H24" s="25" t="s">
        <v>471</v>
      </c>
      <c r="I24" s="58" t="s">
        <v>472</v>
      </c>
      <c r="J24" s="5"/>
      <c r="K24" s="5"/>
      <c r="O24" s="6"/>
      <c r="S24" s="5"/>
      <c r="U24" s="5"/>
      <c r="V24" s="5"/>
      <c r="W24" s="5"/>
      <c r="X24" s="5"/>
      <c r="Y24" s="5"/>
    </row>
    <row r="30" spans="4:26">
      <c r="G30" s="1055" t="s">
        <v>453</v>
      </c>
      <c r="H30" s="1055"/>
      <c r="I30" s="59">
        <f>H18</f>
        <v>616486247.27272701</v>
      </c>
    </row>
    <row r="31" spans="4:26">
      <c r="G31" s="1055" t="s">
        <v>473</v>
      </c>
      <c r="H31" s="1055"/>
      <c r="I31" s="59">
        <f>S18</f>
        <v>630123261.97368395</v>
      </c>
    </row>
    <row r="32" spans="4:26">
      <c r="G32" s="1056" t="s">
        <v>474</v>
      </c>
      <c r="H32" s="1056"/>
      <c r="I32" s="60">
        <f>LARGE(I30:I31,1)</f>
        <v>630123261.97368395</v>
      </c>
    </row>
    <row r="33" spans="2:9">
      <c r="G33" s="1055" t="s">
        <v>475</v>
      </c>
      <c r="H33" s="1055"/>
      <c r="I33" s="59">
        <v>688446674.50999999</v>
      </c>
    </row>
    <row r="34" spans="2:9">
      <c r="G34" s="1057" t="s">
        <v>476</v>
      </c>
      <c r="H34" s="1057"/>
      <c r="I34" s="61">
        <f>I33*0.88</f>
        <v>605833073.56879997</v>
      </c>
    </row>
    <row r="35" spans="2:9">
      <c r="G35" s="1057" t="s">
        <v>477</v>
      </c>
      <c r="H35" s="1057"/>
      <c r="I35" s="61">
        <f>I33*1.12</f>
        <v>771060275.45120001</v>
      </c>
    </row>
    <row r="36" spans="2:9" ht="24.75" customHeight="1">
      <c r="B36" s="1058" t="s">
        <v>478</v>
      </c>
      <c r="C36" s="1059"/>
      <c r="D36" s="1060"/>
      <c r="I36" s="62"/>
    </row>
    <row r="37" spans="2:9" ht="20.25">
      <c r="B37" s="28" t="s">
        <v>479</v>
      </c>
      <c r="C37" s="29" t="s">
        <v>480</v>
      </c>
      <c r="D37" s="30" t="e">
        <f>IF(D41&gt;=D38,"ok","desclassificar")</f>
        <v>#REF!</v>
      </c>
      <c r="E37" s="31"/>
      <c r="I37" s="62"/>
    </row>
    <row r="38" spans="2:9" ht="20.25">
      <c r="B38" s="32" t="s">
        <v>481</v>
      </c>
      <c r="C38" s="33" t="e">
        <v>#REF!</v>
      </c>
      <c r="D38" s="34" t="e">
        <f>10/100*C38</f>
        <v>#REF!</v>
      </c>
      <c r="E38" s="31"/>
      <c r="I38" s="62"/>
    </row>
    <row r="39" spans="2:9" ht="23.25">
      <c r="B39" s="1061" t="s">
        <v>482</v>
      </c>
      <c r="C39" s="1061"/>
      <c r="D39" s="1061"/>
      <c r="E39" s="31"/>
      <c r="I39" s="1">
        <f>1-0.12</f>
        <v>0.88</v>
      </c>
    </row>
    <row r="40" spans="2:9" ht="23.25">
      <c r="B40" s="1062" t="s">
        <v>483</v>
      </c>
      <c r="C40" s="1062"/>
      <c r="D40" s="35">
        <v>61792896.729999997</v>
      </c>
      <c r="E40" s="31"/>
      <c r="I40" s="1" t="s">
        <v>349</v>
      </c>
    </row>
    <row r="41" spans="2:9" ht="23.25">
      <c r="B41" s="1062" t="s">
        <v>484</v>
      </c>
      <c r="C41" s="1062"/>
      <c r="D41" s="35">
        <v>75118051.140000001</v>
      </c>
      <c r="E41" s="31"/>
    </row>
    <row r="42" spans="2:9" ht="23.25">
      <c r="B42" s="1062" t="s">
        <v>485</v>
      </c>
      <c r="C42" s="1062"/>
      <c r="D42" s="35">
        <f>I33</f>
        <v>688446674.50999999</v>
      </c>
      <c r="E42" s="36" t="s">
        <v>486</v>
      </c>
    </row>
    <row r="43" spans="2:9" ht="23.25">
      <c r="B43" s="1062" t="s">
        <v>487</v>
      </c>
      <c r="C43" s="1062"/>
      <c r="D43" s="37">
        <f>D41/D40</f>
        <v>1.21564217110946</v>
      </c>
      <c r="E43" s="38" t="str">
        <f>IF(D43&gt;=1,"ok","desclassificar")</f>
        <v>ok</v>
      </c>
    </row>
    <row r="44" spans="2:9" ht="23.25">
      <c r="B44" s="1062" t="s">
        <v>488</v>
      </c>
      <c r="C44" s="1062"/>
      <c r="D44" s="39">
        <f>(D42/12-D40)/(D42/12)</f>
        <v>-7.7083800699264002E-2</v>
      </c>
      <c r="E44" s="40" t="str">
        <f>IF(ABS(D44)&lt;=10%,"ok","justificar")</f>
        <v>ok</v>
      </c>
    </row>
  </sheetData>
  <mergeCells count="33">
    <mergeCell ref="B40:C40"/>
    <mergeCell ref="B41:C41"/>
    <mergeCell ref="B42:C42"/>
    <mergeCell ref="B43:C43"/>
    <mergeCell ref="B44:C44"/>
    <mergeCell ref="G33:H33"/>
    <mergeCell ref="G34:H34"/>
    <mergeCell ref="G35:H35"/>
    <mergeCell ref="B36:D36"/>
    <mergeCell ref="B39:D39"/>
    <mergeCell ref="G22:O22"/>
    <mergeCell ref="R22:Z22"/>
    <mergeCell ref="G30:H30"/>
    <mergeCell ref="G31:H31"/>
    <mergeCell ref="G32:H32"/>
    <mergeCell ref="U18:Y18"/>
    <mergeCell ref="G20:O20"/>
    <mergeCell ref="R20:Z20"/>
    <mergeCell ref="G21:O21"/>
    <mergeCell ref="R21:Z21"/>
    <mergeCell ref="F3:H3"/>
    <mergeCell ref="Q3:S3"/>
    <mergeCell ref="B5:C5"/>
    <mergeCell ref="F18:G18"/>
    <mergeCell ref="J18:N18"/>
    <mergeCell ref="Q18:R18"/>
    <mergeCell ref="F4:F5"/>
    <mergeCell ref="G4:G5"/>
    <mergeCell ref="Q4:Q5"/>
    <mergeCell ref="R4:R5"/>
    <mergeCell ref="B3:D4"/>
    <mergeCell ref="B6:C9"/>
    <mergeCell ref="B10:C13"/>
  </mergeCells>
  <conditionalFormatting sqref="D37">
    <cfRule type="expression" dxfId="5" priority="1">
      <formula>$D$41&lt;$D$38</formula>
    </cfRule>
    <cfRule type="expression" dxfId="4" priority="2">
      <formula>$D$41&gt;=$D$38</formula>
    </cfRule>
  </conditionalFormatting>
  <conditionalFormatting sqref="E43">
    <cfRule type="expression" dxfId="3" priority="5">
      <formula>$D$43&lt;1</formula>
    </cfRule>
    <cfRule type="expression" dxfId="2" priority="6">
      <formula>$D$43&gt;=1</formula>
    </cfRule>
  </conditionalFormatting>
  <conditionalFormatting sqref="E44">
    <cfRule type="expression" dxfId="1" priority="3">
      <formula>ABS($D$44)&gt;10%</formula>
    </cfRule>
    <cfRule type="expression" dxfId="0" priority="4">
      <formula>ABS($D$44)&lt;=10%</formula>
    </cfRule>
  </conditionalFormatting>
  <printOptions horizontalCentered="1" verticalCentered="1"/>
  <pageMargins left="0.511811023622047" right="0.511811023622047" top="0.78740157480314998" bottom="0.78740157480314998" header="0.31496062992126" footer="0.31496062992126"/>
  <pageSetup paperSize="9" scale="31"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O17"/>
  <sheetViews>
    <sheetView showGridLines="0" tabSelected="1" zoomScaleNormal="100" workbookViewId="0"/>
  </sheetViews>
  <sheetFormatPr defaultColWidth="11.42578125" defaultRowHeight="12.75"/>
  <cols>
    <col min="1" max="1" width="5.140625" style="123" customWidth="1"/>
    <col min="2" max="2" width="62.42578125" style="123" customWidth="1"/>
    <col min="3" max="3" width="12" style="123" customWidth="1"/>
    <col min="4" max="4" width="12.7109375" style="123" customWidth="1"/>
    <col min="5" max="5" width="13.42578125" style="123" customWidth="1"/>
    <col min="6" max="6" width="13.28515625" style="123" customWidth="1"/>
    <col min="7" max="7" width="11.28515625" style="123" customWidth="1"/>
    <col min="8" max="8" width="14.28515625" style="123" customWidth="1"/>
    <col min="9" max="9" width="21" style="123" customWidth="1"/>
    <col min="10" max="13" width="11.42578125" style="123"/>
    <col min="14" max="14" width="12.85546875" style="123" bestFit="1" customWidth="1"/>
    <col min="15" max="16384" width="11.42578125" style="123"/>
  </cols>
  <sheetData>
    <row r="1" spans="1:15" ht="15">
      <c r="A1" s="344"/>
      <c r="B1" s="344"/>
      <c r="C1" s="344"/>
      <c r="D1" s="344"/>
      <c r="E1" s="344"/>
      <c r="F1" s="344"/>
      <c r="G1" s="344"/>
      <c r="H1" s="344"/>
      <c r="I1" s="344"/>
      <c r="J1" s="344"/>
      <c r="K1" s="344"/>
      <c r="L1" s="344"/>
      <c r="M1" s="344"/>
      <c r="N1" s="344"/>
      <c r="O1" s="344"/>
    </row>
    <row r="2" spans="1:15" ht="23.25" customHeight="1">
      <c r="A2" s="344"/>
      <c r="B2" s="1083" t="s">
        <v>507</v>
      </c>
      <c r="C2" s="1068" t="str">
        <f>'Descrição postos'!C7</f>
        <v>Garçom</v>
      </c>
      <c r="D2" s="1069"/>
      <c r="E2" s="1069"/>
      <c r="F2" s="1069"/>
      <c r="G2" s="1069"/>
      <c r="H2" s="1070"/>
      <c r="I2" s="1068" t="str">
        <f>'Descrição postos'!C8</f>
        <v>Copeiro</v>
      </c>
      <c r="J2" s="1069"/>
      <c r="K2" s="1069"/>
      <c r="L2" s="1069"/>
      <c r="M2" s="1069"/>
      <c r="N2" s="1070"/>
      <c r="O2" s="344"/>
    </row>
    <row r="3" spans="1:15" ht="21.75" customHeight="1">
      <c r="A3" s="344"/>
      <c r="B3" s="1083"/>
      <c r="C3" s="1071"/>
      <c r="D3" s="1072"/>
      <c r="E3" s="1072"/>
      <c r="F3" s="1072"/>
      <c r="G3" s="1072"/>
      <c r="H3" s="1073"/>
      <c r="I3" s="1071"/>
      <c r="J3" s="1072"/>
      <c r="K3" s="1072"/>
      <c r="L3" s="1072"/>
      <c r="M3" s="1072"/>
      <c r="N3" s="1073"/>
      <c r="O3" s="344"/>
    </row>
    <row r="4" spans="1:15" ht="22.5" customHeight="1">
      <c r="A4" s="344"/>
      <c r="B4" s="643" t="s">
        <v>508</v>
      </c>
      <c r="C4" s="1074">
        <f>'1_Garçon'!E6</f>
        <v>2574.37</v>
      </c>
      <c r="D4" s="1075"/>
      <c r="E4" s="1075"/>
      <c r="F4" s="1075"/>
      <c r="G4" s="1075"/>
      <c r="H4" s="1076"/>
      <c r="I4" s="1074">
        <f>'2_Copeiro'!E6</f>
        <v>1743.49</v>
      </c>
      <c r="J4" s="1075"/>
      <c r="K4" s="1075"/>
      <c r="L4" s="1075"/>
      <c r="M4" s="1075"/>
      <c r="N4" s="1076"/>
      <c r="O4" s="344"/>
    </row>
    <row r="5" spans="1:15" ht="42" customHeight="1">
      <c r="A5" s="344"/>
      <c r="B5" s="1084" t="s">
        <v>509</v>
      </c>
      <c r="C5" s="644" t="s">
        <v>510</v>
      </c>
      <c r="D5" s="644" t="s">
        <v>511</v>
      </c>
      <c r="E5" s="644" t="s">
        <v>512</v>
      </c>
      <c r="F5" s="1065" t="s">
        <v>513</v>
      </c>
      <c r="G5" s="1066"/>
      <c r="H5" s="645" t="s">
        <v>96</v>
      </c>
      <c r="I5" s="644" t="s">
        <v>510</v>
      </c>
      <c r="J5" s="644" t="s">
        <v>511</v>
      </c>
      <c r="K5" s="644" t="s">
        <v>512</v>
      </c>
      <c r="L5" s="1065" t="s">
        <v>513</v>
      </c>
      <c r="M5" s="1066"/>
      <c r="N5" s="645" t="s">
        <v>96</v>
      </c>
      <c r="O5" s="344"/>
    </row>
    <row r="6" spans="1:15" ht="24" customHeight="1">
      <c r="A6" s="344"/>
      <c r="B6" s="1085"/>
      <c r="C6" s="646">
        <v>8.3299999999999999E-2</v>
      </c>
      <c r="D6" s="646">
        <v>0.1111</v>
      </c>
      <c r="E6" s="646">
        <v>0.04</v>
      </c>
      <c r="F6" s="1086">
        <v>7.3899999999999993E-2</v>
      </c>
      <c r="G6" s="1087"/>
      <c r="H6" s="646">
        <v>0.30830000000000002</v>
      </c>
      <c r="I6" s="646">
        <v>8.3299999999999999E-2</v>
      </c>
      <c r="J6" s="646">
        <v>0.1111</v>
      </c>
      <c r="K6" s="646">
        <v>0.04</v>
      </c>
      <c r="L6" s="1086">
        <v>7.3899999999999993E-2</v>
      </c>
      <c r="M6" s="1087"/>
      <c r="N6" s="646">
        <v>0.30830000000000002</v>
      </c>
      <c r="O6" s="344"/>
    </row>
    <row r="7" spans="1:15" ht="24" customHeight="1">
      <c r="A7" s="344"/>
      <c r="B7" s="647" t="s">
        <v>514</v>
      </c>
      <c r="C7" s="648">
        <f t="shared" ref="C7:H7" si="0">ROUND(C6*$C4,2)</f>
        <v>214.45</v>
      </c>
      <c r="D7" s="648">
        <f t="shared" si="0"/>
        <v>286.01</v>
      </c>
      <c r="E7" s="648">
        <f t="shared" si="0"/>
        <v>102.97</v>
      </c>
      <c r="F7" s="1063">
        <f>ROUND(F6*$C4,2)</f>
        <v>190.25</v>
      </c>
      <c r="G7" s="1064"/>
      <c r="H7" s="648">
        <f t="shared" si="0"/>
        <v>793.68</v>
      </c>
      <c r="I7" s="648">
        <f>ROUND(I6*$I4,2)</f>
        <v>145.22999999999999</v>
      </c>
      <c r="J7" s="648">
        <f t="shared" ref="J7:N7" si="1">ROUND(J6*$I4,2)</f>
        <v>193.7</v>
      </c>
      <c r="K7" s="648">
        <f t="shared" si="1"/>
        <v>69.739999999999995</v>
      </c>
      <c r="L7" s="1063">
        <f>ROUND(L6*$I4,2)</f>
        <v>128.84</v>
      </c>
      <c r="M7" s="1064"/>
      <c r="N7" s="648">
        <f t="shared" si="1"/>
        <v>537.52</v>
      </c>
      <c r="O7" s="344"/>
    </row>
    <row r="8" spans="1:15" ht="24" customHeight="1">
      <c r="A8" s="344"/>
      <c r="B8" s="647" t="s">
        <v>515</v>
      </c>
      <c r="C8" s="1077">
        <f>'Descrição postos'!E7</f>
        <v>12</v>
      </c>
      <c r="D8" s="1078"/>
      <c r="E8" s="1078"/>
      <c r="F8" s="1078"/>
      <c r="G8" s="1078"/>
      <c r="H8" s="1079"/>
      <c r="I8" s="1077">
        <v>4</v>
      </c>
      <c r="J8" s="1078"/>
      <c r="K8" s="1078"/>
      <c r="L8" s="1078"/>
      <c r="M8" s="1078"/>
      <c r="N8" s="1079"/>
      <c r="O8" s="344"/>
    </row>
    <row r="9" spans="1:15" ht="36.75" customHeight="1">
      <c r="A9" s="344"/>
      <c r="B9" s="649" t="s">
        <v>516</v>
      </c>
      <c r="C9" s="1080">
        <f>H7*C8</f>
        <v>9524.16</v>
      </c>
      <c r="D9" s="1081"/>
      <c r="E9" s="1081"/>
      <c r="F9" s="1081"/>
      <c r="G9" s="1081"/>
      <c r="H9" s="1082"/>
      <c r="I9" s="1080">
        <f>N7*I8</f>
        <v>2150.08</v>
      </c>
      <c r="J9" s="1081"/>
      <c r="K9" s="1081"/>
      <c r="L9" s="1081"/>
      <c r="M9" s="1081"/>
      <c r="N9" s="1082"/>
      <c r="O9" s="344"/>
    </row>
    <row r="10" spans="1:15" ht="15">
      <c r="A10" s="344"/>
      <c r="B10" s="344"/>
      <c r="C10" s="344"/>
      <c r="D10" s="344"/>
      <c r="E10" s="344"/>
      <c r="F10" s="344"/>
      <c r="G10" s="344"/>
      <c r="H10" s="344"/>
      <c r="I10" s="344"/>
      <c r="J10" s="344"/>
      <c r="K10" s="344"/>
      <c r="L10" s="344"/>
      <c r="M10" s="344"/>
      <c r="N10" s="344"/>
      <c r="O10" s="344"/>
    </row>
    <row r="11" spans="1:15" ht="15">
      <c r="A11" s="344"/>
      <c r="B11" s="344"/>
      <c r="C11" s="344"/>
      <c r="D11" s="650"/>
      <c r="E11" s="344"/>
      <c r="F11" s="344"/>
      <c r="G11" s="344"/>
      <c r="H11" s="344"/>
      <c r="I11" s="344"/>
      <c r="J11" s="344"/>
      <c r="K11" s="344"/>
      <c r="L11" s="344"/>
      <c r="M11" s="344"/>
      <c r="N11" s="344"/>
      <c r="O11" s="344"/>
    </row>
    <row r="12" spans="1:15" ht="15">
      <c r="A12" s="344"/>
      <c r="B12" s="344"/>
      <c r="C12" s="344"/>
      <c r="D12" s="344"/>
      <c r="E12" s="344"/>
      <c r="F12" s="344"/>
      <c r="G12" s="344"/>
      <c r="H12" s="344"/>
      <c r="I12" s="344"/>
      <c r="J12" s="344"/>
      <c r="K12" s="344"/>
      <c r="L12" s="344"/>
      <c r="M12" s="344"/>
      <c r="N12" s="344"/>
      <c r="O12" s="344"/>
    </row>
    <row r="13" spans="1:15" ht="20.25" customHeight="1">
      <c r="A13" s="1067" t="s">
        <v>517</v>
      </c>
      <c r="B13" s="1067"/>
      <c r="C13" s="1067"/>
      <c r="D13" s="1067"/>
      <c r="E13" s="1067"/>
      <c r="F13" s="1067"/>
      <c r="G13" s="1067"/>
      <c r="H13" s="1067"/>
      <c r="I13" s="651">
        <f>C9+I9</f>
        <v>11674.24</v>
      </c>
      <c r="J13" s="344"/>
      <c r="K13" s="344"/>
      <c r="L13" s="344"/>
      <c r="M13" s="344"/>
      <c r="N13" s="344"/>
      <c r="O13" s="344"/>
    </row>
    <row r="14" spans="1:15" ht="15">
      <c r="A14" s="344"/>
      <c r="B14" s="344"/>
      <c r="C14" s="344"/>
      <c r="D14" s="344"/>
      <c r="E14" s="344"/>
      <c r="F14" s="344"/>
      <c r="G14" s="344"/>
      <c r="H14" s="344"/>
      <c r="I14" s="344"/>
      <c r="J14" s="344"/>
      <c r="K14" s="344"/>
      <c r="L14" s="344"/>
      <c r="M14" s="344"/>
      <c r="N14" s="344"/>
      <c r="O14" s="344"/>
    </row>
    <row r="15" spans="1:15" ht="15">
      <c r="A15" s="344"/>
      <c r="B15" s="344"/>
      <c r="C15" s="344"/>
      <c r="D15" s="344"/>
      <c r="E15" s="344"/>
      <c r="F15" s="344"/>
      <c r="G15" s="344"/>
      <c r="H15" s="344"/>
      <c r="I15" s="344"/>
      <c r="J15" s="344"/>
      <c r="K15" s="344"/>
      <c r="L15" s="344"/>
      <c r="M15" s="344"/>
      <c r="N15" s="344"/>
      <c r="O15" s="344"/>
    </row>
    <row r="16" spans="1:15" ht="15">
      <c r="A16" s="344"/>
      <c r="B16" s="344"/>
      <c r="C16" s="344"/>
      <c r="D16" s="344"/>
      <c r="E16" s="344"/>
      <c r="F16" s="344"/>
      <c r="G16" s="344"/>
      <c r="H16" s="344"/>
      <c r="I16" s="344"/>
      <c r="J16" s="344"/>
      <c r="K16" s="344"/>
      <c r="L16" s="344"/>
      <c r="M16" s="344"/>
      <c r="N16" s="344"/>
      <c r="O16" s="344"/>
    </row>
    <row r="17" spans="1:15" ht="15">
      <c r="A17" s="344"/>
      <c r="B17" s="344"/>
      <c r="C17" s="344"/>
      <c r="D17" s="344"/>
      <c r="E17" s="344"/>
      <c r="F17" s="344"/>
      <c r="G17" s="344"/>
      <c r="H17" s="344"/>
      <c r="I17" s="344"/>
      <c r="J17" s="652"/>
      <c r="K17" s="344"/>
      <c r="L17" s="344"/>
      <c r="M17" s="344"/>
      <c r="N17" s="344"/>
      <c r="O17" s="344"/>
    </row>
  </sheetData>
  <mergeCells count="17">
    <mergeCell ref="L6:M6"/>
    <mergeCell ref="L7:M7"/>
    <mergeCell ref="L5:M5"/>
    <mergeCell ref="A13:H13"/>
    <mergeCell ref="I2:N3"/>
    <mergeCell ref="I4:N4"/>
    <mergeCell ref="I8:N8"/>
    <mergeCell ref="I9:N9"/>
    <mergeCell ref="C9:H9"/>
    <mergeCell ref="B2:B3"/>
    <mergeCell ref="B5:B6"/>
    <mergeCell ref="C2:H3"/>
    <mergeCell ref="C8:H8"/>
    <mergeCell ref="C4:H4"/>
    <mergeCell ref="F6:G6"/>
    <mergeCell ref="F7:G7"/>
    <mergeCell ref="F5:G5"/>
  </mergeCells>
  <printOptions horizontalCentered="1" verticalCentered="1"/>
  <pageMargins left="0.511811023622047" right="0.511811023622047" top="0.78740157480314998" bottom="0.78740157480314998" header="0.31496062992126" footer="0.31496062992126"/>
  <pageSetup paperSize="9" scale="42"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62"/>
  <sheetViews>
    <sheetView showGridLines="0" topLeftCell="E1" zoomScale="80" zoomScaleNormal="80" workbookViewId="0">
      <selection activeCell="H38" sqref="H38"/>
    </sheetView>
  </sheetViews>
  <sheetFormatPr defaultRowHeight="15"/>
  <cols>
    <col min="1" max="1" width="59.28515625" style="228" customWidth="1"/>
    <col min="2" max="2" width="22.140625" style="229" customWidth="1"/>
    <col min="3" max="3" width="61" style="230" customWidth="1"/>
    <col min="4" max="4" width="25" style="230" customWidth="1"/>
    <col min="5" max="5" width="31.140625" style="230" customWidth="1"/>
    <col min="6" max="6" width="42.5703125" style="227" customWidth="1"/>
    <col min="7" max="7" width="35.5703125" style="228" bestFit="1" customWidth="1"/>
    <col min="8" max="8" width="36.7109375" style="229" customWidth="1"/>
    <col min="9" max="16384" width="9.140625" style="227"/>
  </cols>
  <sheetData>
    <row r="1" spans="1:15" ht="15.75">
      <c r="A1" s="282"/>
      <c r="B1" s="282"/>
      <c r="C1" s="283"/>
      <c r="D1" s="283"/>
      <c r="E1" s="283"/>
      <c r="F1" s="274"/>
      <c r="G1" s="281"/>
      <c r="H1" s="284"/>
      <c r="I1" s="274"/>
      <c r="J1" s="274"/>
      <c r="K1" s="274"/>
      <c r="L1" s="274"/>
      <c r="M1" s="285"/>
      <c r="N1" s="285"/>
      <c r="O1" s="285"/>
    </row>
    <row r="2" spans="1:15" ht="27.75" customHeight="1">
      <c r="A2" s="661" t="s">
        <v>17</v>
      </c>
      <c r="B2" s="661"/>
      <c r="C2" s="661"/>
      <c r="D2" s="661"/>
      <c r="E2" s="661"/>
      <c r="F2" s="661"/>
      <c r="G2" s="661"/>
      <c r="H2" s="661"/>
      <c r="I2" s="274"/>
      <c r="J2" s="274"/>
      <c r="K2" s="274"/>
      <c r="L2" s="274"/>
      <c r="M2" s="285"/>
      <c r="N2" s="285"/>
      <c r="O2" s="285"/>
    </row>
    <row r="3" spans="1:15" ht="15.75">
      <c r="A3" s="663" t="s">
        <v>18</v>
      </c>
      <c r="B3" s="663"/>
      <c r="C3" s="663"/>
      <c r="D3" s="663"/>
      <c r="E3" s="664" t="s">
        <v>19</v>
      </c>
      <c r="F3" s="665"/>
      <c r="G3" s="665"/>
      <c r="H3" s="665"/>
      <c r="I3" s="274"/>
      <c r="J3" s="274"/>
      <c r="K3" s="274"/>
      <c r="L3" s="274"/>
      <c r="M3" s="285"/>
      <c r="N3" s="285"/>
      <c r="O3" s="285"/>
    </row>
    <row r="4" spans="1:15" ht="36.75" customHeight="1">
      <c r="A4" s="286" t="s">
        <v>20</v>
      </c>
      <c r="B4" s="286" t="s">
        <v>21</v>
      </c>
      <c r="C4" s="286" t="s">
        <v>22</v>
      </c>
      <c r="D4" s="286" t="s">
        <v>23</v>
      </c>
      <c r="E4" s="286" t="s">
        <v>24</v>
      </c>
      <c r="F4" s="286" t="s">
        <v>25</v>
      </c>
      <c r="G4" s="286" t="s">
        <v>26</v>
      </c>
      <c r="H4" s="286" t="s">
        <v>27</v>
      </c>
      <c r="I4" s="274"/>
      <c r="J4" s="274"/>
      <c r="K4" s="274"/>
      <c r="L4" s="274"/>
      <c r="M4" s="285"/>
      <c r="N4" s="285"/>
      <c r="O4" s="285"/>
    </row>
    <row r="5" spans="1:15" ht="18" customHeight="1">
      <c r="A5" s="287" t="s">
        <v>28</v>
      </c>
      <c r="B5" s="287">
        <v>12073070</v>
      </c>
      <c r="C5" s="287" t="s">
        <v>29</v>
      </c>
      <c r="D5" s="287" t="s">
        <v>30</v>
      </c>
      <c r="E5" s="288">
        <v>2.9190000000000001E-2</v>
      </c>
      <c r="F5" s="287">
        <v>0.170241</v>
      </c>
      <c r="G5" s="287">
        <v>66.599999999999994</v>
      </c>
      <c r="H5" s="289">
        <v>11.35</v>
      </c>
      <c r="I5" s="274"/>
      <c r="J5" s="274"/>
      <c r="K5" s="274"/>
      <c r="L5" s="274"/>
      <c r="M5" s="285"/>
      <c r="N5" s="285"/>
      <c r="O5" s="285"/>
    </row>
    <row r="6" spans="1:15" ht="18" customHeight="1">
      <c r="A6" s="287" t="s">
        <v>28</v>
      </c>
      <c r="B6" s="287">
        <v>12073070</v>
      </c>
      <c r="C6" s="287" t="s">
        <v>31</v>
      </c>
      <c r="D6" s="287" t="s">
        <v>30</v>
      </c>
      <c r="E6" s="288">
        <v>2.9190000000000001E-2</v>
      </c>
      <c r="F6" s="287">
        <v>0.170241</v>
      </c>
      <c r="G6" s="287">
        <v>43.7</v>
      </c>
      <c r="H6" s="289">
        <v>7.45</v>
      </c>
      <c r="I6" s="274"/>
      <c r="J6" s="274"/>
      <c r="K6" s="274"/>
      <c r="L6" s="274"/>
      <c r="M6" s="285"/>
      <c r="N6" s="285"/>
      <c r="O6" s="285"/>
    </row>
    <row r="7" spans="1:15" ht="18" customHeight="1">
      <c r="A7" s="287" t="s">
        <v>28</v>
      </c>
      <c r="B7" s="287">
        <v>12107070</v>
      </c>
      <c r="C7" s="287" t="s">
        <v>32</v>
      </c>
      <c r="D7" s="287" t="s">
        <v>30</v>
      </c>
      <c r="E7" s="288">
        <v>2.9190000000000001E-2</v>
      </c>
      <c r="F7" s="287">
        <v>0.170241</v>
      </c>
      <c r="G7" s="287">
        <v>35.5</v>
      </c>
      <c r="H7" s="289">
        <v>6.05</v>
      </c>
      <c r="I7" s="274"/>
      <c r="J7" s="274"/>
      <c r="K7" s="274"/>
      <c r="L7" s="274"/>
      <c r="M7" s="285"/>
      <c r="N7" s="285"/>
      <c r="O7" s="285"/>
    </row>
    <row r="8" spans="1:15" ht="18" customHeight="1">
      <c r="A8" s="287" t="s">
        <v>28</v>
      </c>
      <c r="B8" s="287">
        <v>12033870</v>
      </c>
      <c r="C8" s="287" t="s">
        <v>33</v>
      </c>
      <c r="D8" s="287" t="s">
        <v>30</v>
      </c>
      <c r="E8" s="288">
        <v>2.9190000000000001E-2</v>
      </c>
      <c r="F8" s="287">
        <v>0.170241</v>
      </c>
      <c r="G8" s="287">
        <v>47</v>
      </c>
      <c r="H8" s="289">
        <v>8</v>
      </c>
      <c r="I8" s="274"/>
      <c r="J8" s="274"/>
      <c r="K8" s="274"/>
      <c r="L8" s="274"/>
      <c r="M8" s="285"/>
      <c r="N8" s="285"/>
      <c r="O8" s="285"/>
    </row>
    <row r="9" spans="1:15" ht="18" customHeight="1">
      <c r="A9" s="287" t="s">
        <v>34</v>
      </c>
      <c r="B9" s="287">
        <v>12502070</v>
      </c>
      <c r="C9" s="287" t="s">
        <v>35</v>
      </c>
      <c r="D9" s="287" t="s">
        <v>30</v>
      </c>
      <c r="E9" s="288">
        <v>2.9190000000000001E-2</v>
      </c>
      <c r="F9" s="287">
        <v>0.170241</v>
      </c>
      <c r="G9" s="287">
        <v>62.8</v>
      </c>
      <c r="H9" s="289">
        <v>10.7</v>
      </c>
      <c r="I9" s="274"/>
      <c r="J9" s="274"/>
      <c r="K9" s="274"/>
      <c r="L9" s="274"/>
      <c r="M9" s="285"/>
      <c r="N9" s="285"/>
      <c r="O9" s="285"/>
    </row>
    <row r="10" spans="1:15" ht="18" customHeight="1">
      <c r="A10" s="287" t="s">
        <v>34</v>
      </c>
      <c r="B10" s="287">
        <v>12502270</v>
      </c>
      <c r="C10" s="287" t="s">
        <v>36</v>
      </c>
      <c r="D10" s="287" t="s">
        <v>30</v>
      </c>
      <c r="E10" s="288">
        <v>2.9190000000000001E-2</v>
      </c>
      <c r="F10" s="287">
        <v>0.170241</v>
      </c>
      <c r="G10" s="287">
        <v>46.7</v>
      </c>
      <c r="H10" s="289">
        <v>7.95</v>
      </c>
      <c r="I10" s="274"/>
      <c r="J10" s="274"/>
      <c r="K10" s="274"/>
      <c r="L10" s="274"/>
      <c r="M10" s="285"/>
      <c r="N10" s="285"/>
      <c r="O10" s="285"/>
    </row>
    <row r="11" spans="1:15" ht="18" customHeight="1">
      <c r="A11" s="287" t="s">
        <v>34</v>
      </c>
      <c r="B11" s="287">
        <v>12502170</v>
      </c>
      <c r="C11" s="287" t="s">
        <v>37</v>
      </c>
      <c r="D11" s="287" t="s">
        <v>30</v>
      </c>
      <c r="E11" s="288">
        <v>2.9190000000000001E-2</v>
      </c>
      <c r="F11" s="287">
        <v>0.170241</v>
      </c>
      <c r="G11" s="287">
        <v>70.599999999999994</v>
      </c>
      <c r="H11" s="289">
        <v>12.05</v>
      </c>
      <c r="I11" s="274"/>
      <c r="J11" s="274"/>
      <c r="K11" s="274"/>
      <c r="L11" s="274"/>
      <c r="M11" s="285"/>
      <c r="N11" s="285"/>
      <c r="O11" s="285"/>
    </row>
    <row r="12" spans="1:15" ht="18" customHeight="1">
      <c r="A12" s="287" t="s">
        <v>38</v>
      </c>
      <c r="B12" s="287">
        <v>12502370</v>
      </c>
      <c r="C12" s="287" t="s">
        <v>39</v>
      </c>
      <c r="D12" s="287" t="s">
        <v>30</v>
      </c>
      <c r="E12" s="288">
        <v>2.9190000000000001E-2</v>
      </c>
      <c r="F12" s="287">
        <v>0.170241</v>
      </c>
      <c r="G12" s="287">
        <v>53.1</v>
      </c>
      <c r="H12" s="289">
        <v>9.0500000000000007</v>
      </c>
      <c r="I12" s="274"/>
      <c r="J12" s="274"/>
      <c r="K12" s="274"/>
      <c r="L12" s="274"/>
      <c r="M12" s="285"/>
      <c r="N12" s="285"/>
      <c r="O12" s="285"/>
    </row>
    <row r="13" spans="1:15" ht="18" customHeight="1">
      <c r="A13" s="287" t="s">
        <v>38</v>
      </c>
      <c r="B13" s="287">
        <v>12502570</v>
      </c>
      <c r="C13" s="287" t="s">
        <v>40</v>
      </c>
      <c r="D13" s="287" t="s">
        <v>30</v>
      </c>
      <c r="E13" s="288">
        <v>2.9190000000000001E-2</v>
      </c>
      <c r="F13" s="287">
        <v>0.170241</v>
      </c>
      <c r="G13" s="287">
        <v>34.9</v>
      </c>
      <c r="H13" s="289">
        <v>5.9</v>
      </c>
      <c r="I13" s="274"/>
      <c r="J13" s="274"/>
      <c r="K13" s="274"/>
      <c r="L13" s="274"/>
      <c r="M13" s="285"/>
      <c r="N13" s="285"/>
      <c r="O13" s="285"/>
    </row>
    <row r="14" spans="1:15" ht="18" customHeight="1">
      <c r="A14" s="287" t="s">
        <v>38</v>
      </c>
      <c r="B14" s="287">
        <v>12502470</v>
      </c>
      <c r="C14" s="287" t="s">
        <v>41</v>
      </c>
      <c r="D14" s="287" t="s">
        <v>30</v>
      </c>
      <c r="E14" s="288">
        <v>2.9190000000000001E-2</v>
      </c>
      <c r="F14" s="287">
        <v>0.170241</v>
      </c>
      <c r="G14" s="287">
        <v>61</v>
      </c>
      <c r="H14" s="289">
        <v>10.4</v>
      </c>
      <c r="I14" s="274"/>
      <c r="J14" s="274"/>
      <c r="K14" s="274"/>
      <c r="L14" s="274"/>
      <c r="M14" s="285"/>
      <c r="N14" s="285"/>
      <c r="O14" s="285"/>
    </row>
    <row r="15" spans="1:15" ht="18" customHeight="1">
      <c r="A15" s="287" t="s">
        <v>42</v>
      </c>
      <c r="B15" s="287">
        <v>12502670</v>
      </c>
      <c r="C15" s="287" t="s">
        <v>43</v>
      </c>
      <c r="D15" s="287" t="s">
        <v>30</v>
      </c>
      <c r="E15" s="288">
        <v>2.9190000000000001E-2</v>
      </c>
      <c r="F15" s="287">
        <v>0.170241</v>
      </c>
      <c r="G15" s="287">
        <v>70.8</v>
      </c>
      <c r="H15" s="289">
        <v>12.05</v>
      </c>
      <c r="I15" s="274"/>
      <c r="J15" s="274"/>
      <c r="K15" s="274"/>
      <c r="L15" s="274"/>
      <c r="M15" s="285"/>
      <c r="N15" s="285"/>
      <c r="O15" s="285"/>
    </row>
    <row r="16" spans="1:15" ht="18" customHeight="1">
      <c r="A16" s="287" t="s">
        <v>44</v>
      </c>
      <c r="B16" s="287">
        <v>12037171</v>
      </c>
      <c r="C16" s="287" t="s">
        <v>45</v>
      </c>
      <c r="D16" s="287" t="s">
        <v>30</v>
      </c>
      <c r="E16" s="288">
        <v>2.9190000000000001E-2</v>
      </c>
      <c r="F16" s="287">
        <v>0.170241</v>
      </c>
      <c r="G16" s="287">
        <v>65.599999999999994</v>
      </c>
      <c r="H16" s="289">
        <v>11.15</v>
      </c>
      <c r="I16" s="274"/>
      <c r="J16" s="274"/>
      <c r="K16" s="274"/>
      <c r="L16" s="274"/>
      <c r="M16" s="285"/>
      <c r="N16" s="285"/>
      <c r="O16" s="285"/>
    </row>
    <row r="17" spans="1:15" ht="18" customHeight="1">
      <c r="A17" s="287" t="s">
        <v>46</v>
      </c>
      <c r="B17" s="287">
        <v>12041470</v>
      </c>
      <c r="C17" s="287" t="s">
        <v>47</v>
      </c>
      <c r="D17" s="287" t="s">
        <v>30</v>
      </c>
      <c r="E17" s="288">
        <v>2.9190000000000001E-2</v>
      </c>
      <c r="F17" s="287">
        <v>0.170241</v>
      </c>
      <c r="G17" s="287">
        <v>61.5</v>
      </c>
      <c r="H17" s="289">
        <v>10.45</v>
      </c>
      <c r="I17" s="274"/>
      <c r="J17" s="274"/>
      <c r="K17" s="274"/>
      <c r="L17" s="274"/>
      <c r="M17" s="285"/>
      <c r="N17" s="285"/>
      <c r="O17" s="285"/>
    </row>
    <row r="18" spans="1:15" ht="18" customHeight="1">
      <c r="A18" s="287" t="s">
        <v>46</v>
      </c>
      <c r="B18" s="287">
        <v>12098070</v>
      </c>
      <c r="C18" s="287" t="s">
        <v>48</v>
      </c>
      <c r="D18" s="287" t="s">
        <v>30</v>
      </c>
      <c r="E18" s="288">
        <v>2.9190000000000001E-2</v>
      </c>
      <c r="F18" s="287">
        <v>0.170241</v>
      </c>
      <c r="G18" s="287">
        <v>49</v>
      </c>
      <c r="H18" s="289">
        <v>8.3000000000000007</v>
      </c>
      <c r="I18" s="274"/>
      <c r="J18" s="274"/>
      <c r="K18" s="274"/>
      <c r="L18" s="274"/>
      <c r="M18" s="285"/>
      <c r="N18" s="285"/>
      <c r="O18" s="285"/>
    </row>
    <row r="19" spans="1:15" ht="18" customHeight="1">
      <c r="A19" s="287" t="s">
        <v>49</v>
      </c>
      <c r="B19" s="287">
        <v>12044075</v>
      </c>
      <c r="C19" s="287" t="s">
        <v>45</v>
      </c>
      <c r="D19" s="287" t="s">
        <v>30</v>
      </c>
      <c r="E19" s="288">
        <v>2.9190000000000001E-2</v>
      </c>
      <c r="F19" s="287">
        <v>0.170241</v>
      </c>
      <c r="G19" s="287">
        <v>65.599999999999994</v>
      </c>
      <c r="H19" s="289">
        <v>11.15</v>
      </c>
      <c r="I19" s="274"/>
      <c r="J19" s="274"/>
      <c r="K19" s="274"/>
      <c r="L19" s="274"/>
      <c r="M19" s="285"/>
      <c r="N19" s="285"/>
      <c r="O19" s="285"/>
    </row>
    <row r="20" spans="1:15" ht="18" customHeight="1">
      <c r="A20" s="287" t="s">
        <v>49</v>
      </c>
      <c r="B20" s="287">
        <v>12926670</v>
      </c>
      <c r="C20" s="287" t="s">
        <v>50</v>
      </c>
      <c r="D20" s="287" t="s">
        <v>51</v>
      </c>
      <c r="E20" s="288">
        <v>2.9190000000000001E-2</v>
      </c>
      <c r="F20" s="287">
        <v>0.170241</v>
      </c>
      <c r="G20" s="287">
        <v>59.45</v>
      </c>
      <c r="H20" s="289">
        <v>10.1</v>
      </c>
      <c r="I20" s="274"/>
      <c r="J20" s="274"/>
      <c r="K20" s="274"/>
      <c r="L20" s="274"/>
      <c r="M20" s="285"/>
      <c r="N20" s="285"/>
      <c r="O20" s="285"/>
    </row>
    <row r="21" spans="1:15" ht="18" customHeight="1">
      <c r="A21" s="287" t="s">
        <v>49</v>
      </c>
      <c r="B21" s="287">
        <v>12926470</v>
      </c>
      <c r="C21" s="287" t="s">
        <v>52</v>
      </c>
      <c r="D21" s="287" t="s">
        <v>51</v>
      </c>
      <c r="E21" s="288">
        <v>2.9190000000000001E-2</v>
      </c>
      <c r="F21" s="287">
        <v>0.170241</v>
      </c>
      <c r="G21" s="287">
        <v>17.2</v>
      </c>
      <c r="H21" s="289">
        <v>2.9</v>
      </c>
      <c r="I21" s="274"/>
      <c r="J21" s="274"/>
      <c r="K21" s="274"/>
      <c r="L21" s="274"/>
      <c r="M21" s="285"/>
      <c r="N21" s="285"/>
      <c r="O21" s="285"/>
    </row>
    <row r="22" spans="1:15" ht="18" customHeight="1">
      <c r="A22" s="287" t="s">
        <v>49</v>
      </c>
      <c r="B22" s="287">
        <v>12926570</v>
      </c>
      <c r="C22" s="287" t="s">
        <v>53</v>
      </c>
      <c r="D22" s="287" t="s">
        <v>51</v>
      </c>
      <c r="E22" s="288">
        <v>2.9190000000000001E-2</v>
      </c>
      <c r="F22" s="287">
        <v>0.170241</v>
      </c>
      <c r="G22" s="287">
        <v>54.95</v>
      </c>
      <c r="H22" s="289">
        <v>9.35</v>
      </c>
      <c r="I22" s="274"/>
      <c r="J22" s="274"/>
      <c r="K22" s="274"/>
      <c r="L22" s="274"/>
      <c r="M22" s="285"/>
      <c r="N22" s="285"/>
      <c r="O22" s="285"/>
    </row>
    <row r="23" spans="1:15" ht="18" customHeight="1">
      <c r="A23" s="287" t="s">
        <v>49</v>
      </c>
      <c r="B23" s="287">
        <v>12500170</v>
      </c>
      <c r="C23" s="287" t="s">
        <v>54</v>
      </c>
      <c r="D23" s="287" t="s">
        <v>30</v>
      </c>
      <c r="E23" s="288">
        <v>2.9190000000000001E-2</v>
      </c>
      <c r="F23" s="287">
        <v>0.170241</v>
      </c>
      <c r="G23" s="287">
        <v>42.1</v>
      </c>
      <c r="H23" s="289">
        <v>7.2</v>
      </c>
      <c r="I23" s="274"/>
      <c r="J23" s="274"/>
      <c r="K23" s="274"/>
      <c r="L23" s="274"/>
      <c r="M23" s="285"/>
      <c r="N23" s="285"/>
      <c r="O23" s="285"/>
    </row>
    <row r="24" spans="1:15" ht="18" customHeight="1">
      <c r="A24" s="287" t="s">
        <v>49</v>
      </c>
      <c r="B24" s="287">
        <v>12500570</v>
      </c>
      <c r="C24" s="287" t="s">
        <v>55</v>
      </c>
      <c r="D24" s="287" t="s">
        <v>30</v>
      </c>
      <c r="E24" s="288">
        <v>2.9190000000000001E-2</v>
      </c>
      <c r="F24" s="287">
        <v>0.170241</v>
      </c>
      <c r="G24" s="287">
        <v>29.6</v>
      </c>
      <c r="H24" s="289">
        <v>5.05</v>
      </c>
      <c r="I24" s="274"/>
      <c r="J24" s="274"/>
      <c r="K24" s="274"/>
      <c r="L24" s="274"/>
      <c r="M24" s="285"/>
      <c r="N24" s="285"/>
      <c r="O24" s="285"/>
    </row>
    <row r="25" spans="1:15" ht="18" customHeight="1">
      <c r="A25" s="287" t="s">
        <v>49</v>
      </c>
      <c r="B25" s="287">
        <v>12500770</v>
      </c>
      <c r="C25" s="287" t="s">
        <v>56</v>
      </c>
      <c r="D25" s="287" t="s">
        <v>30</v>
      </c>
      <c r="E25" s="288">
        <v>2.9190000000000001E-2</v>
      </c>
      <c r="F25" s="287">
        <v>0.170241</v>
      </c>
      <c r="G25" s="287">
        <v>53.6</v>
      </c>
      <c r="H25" s="289">
        <v>9.15</v>
      </c>
      <c r="I25" s="274"/>
      <c r="J25" s="274"/>
      <c r="K25" s="274"/>
      <c r="L25" s="274"/>
      <c r="M25" s="285"/>
      <c r="N25" s="285"/>
      <c r="O25" s="285"/>
    </row>
    <row r="26" spans="1:15" ht="18" customHeight="1">
      <c r="A26" s="287" t="s">
        <v>49</v>
      </c>
      <c r="B26" s="287">
        <v>12500270</v>
      </c>
      <c r="C26" s="287" t="s">
        <v>57</v>
      </c>
      <c r="D26" s="287" t="s">
        <v>30</v>
      </c>
      <c r="E26" s="288">
        <v>2.9190000000000001E-2</v>
      </c>
      <c r="F26" s="287">
        <v>0.170241</v>
      </c>
      <c r="G26" s="287">
        <v>51</v>
      </c>
      <c r="H26" s="289">
        <v>8.65</v>
      </c>
      <c r="I26" s="274"/>
      <c r="J26" s="274"/>
      <c r="K26" s="274"/>
      <c r="L26" s="274"/>
      <c r="M26" s="285"/>
      <c r="N26" s="285"/>
      <c r="O26" s="285"/>
    </row>
    <row r="27" spans="1:15" ht="18" customHeight="1">
      <c r="A27" s="287" t="s">
        <v>49</v>
      </c>
      <c r="B27" s="287">
        <v>12500470</v>
      </c>
      <c r="C27" s="287" t="s">
        <v>58</v>
      </c>
      <c r="D27" s="287" t="s">
        <v>30</v>
      </c>
      <c r="E27" s="288">
        <v>2.9190000000000001E-2</v>
      </c>
      <c r="F27" s="287">
        <v>0.170241</v>
      </c>
      <c r="G27" s="287">
        <v>58.8</v>
      </c>
      <c r="H27" s="289">
        <v>10</v>
      </c>
      <c r="I27" s="274"/>
      <c r="J27" s="274"/>
      <c r="K27" s="274"/>
      <c r="L27" s="274"/>
      <c r="M27" s="285"/>
      <c r="N27" s="285"/>
      <c r="O27" s="285"/>
    </row>
    <row r="28" spans="1:15" ht="18" customHeight="1">
      <c r="A28" s="287" t="s">
        <v>49</v>
      </c>
      <c r="B28" s="287">
        <v>12500670</v>
      </c>
      <c r="C28" s="287" t="s">
        <v>59</v>
      </c>
      <c r="D28" s="287" t="s">
        <v>30</v>
      </c>
      <c r="E28" s="288">
        <v>2.9190000000000001E-2</v>
      </c>
      <c r="F28" s="287">
        <v>0.170241</v>
      </c>
      <c r="G28" s="287">
        <v>34.799999999999997</v>
      </c>
      <c r="H28" s="289">
        <v>5.95</v>
      </c>
      <c r="I28" s="274"/>
      <c r="J28" s="274"/>
      <c r="K28" s="274"/>
      <c r="L28" s="274"/>
      <c r="M28" s="285"/>
      <c r="N28" s="285"/>
      <c r="O28" s="285"/>
    </row>
    <row r="29" spans="1:15" ht="18" customHeight="1">
      <c r="A29" s="287" t="s">
        <v>49</v>
      </c>
      <c r="B29" s="287">
        <v>12183770</v>
      </c>
      <c r="C29" s="287" t="s">
        <v>60</v>
      </c>
      <c r="D29" s="287" t="s">
        <v>30</v>
      </c>
      <c r="E29" s="288">
        <v>2.9190000000000001E-2</v>
      </c>
      <c r="F29" s="287">
        <v>0.170241</v>
      </c>
      <c r="G29" s="287">
        <v>59.26</v>
      </c>
      <c r="H29" s="289">
        <v>10.1</v>
      </c>
      <c r="I29" s="274"/>
      <c r="J29" s="274"/>
      <c r="K29" s="274"/>
      <c r="L29" s="274"/>
      <c r="M29" s="285"/>
      <c r="N29" s="285"/>
      <c r="O29" s="285"/>
    </row>
    <row r="30" spans="1:15" ht="18" customHeight="1">
      <c r="A30" s="287" t="s">
        <v>61</v>
      </c>
      <c r="B30" s="287">
        <v>12197370</v>
      </c>
      <c r="C30" s="287" t="s">
        <v>62</v>
      </c>
      <c r="D30" s="287" t="s">
        <v>51</v>
      </c>
      <c r="E30" s="288">
        <v>2.9190000000000001E-2</v>
      </c>
      <c r="F30" s="287">
        <v>0.170241</v>
      </c>
      <c r="G30" s="287">
        <v>35.090000000000003</v>
      </c>
      <c r="H30" s="289">
        <v>5.95</v>
      </c>
      <c r="I30" s="274"/>
      <c r="J30" s="274"/>
      <c r="K30" s="274"/>
      <c r="L30" s="274"/>
      <c r="M30" s="285"/>
      <c r="N30" s="285"/>
      <c r="O30" s="285"/>
    </row>
    <row r="31" spans="1:15" ht="15.75">
      <c r="A31" s="290"/>
      <c r="B31" s="284"/>
      <c r="C31" s="283"/>
      <c r="D31" s="283"/>
      <c r="E31" s="283"/>
      <c r="F31" s="274"/>
      <c r="G31" s="290"/>
      <c r="H31" s="284"/>
      <c r="I31" s="274"/>
      <c r="J31" s="274"/>
      <c r="K31" s="274"/>
      <c r="L31" s="274"/>
      <c r="M31" s="285"/>
      <c r="N31" s="285"/>
      <c r="O31" s="285"/>
    </row>
    <row r="32" spans="1:15" ht="15.75">
      <c r="A32" s="290"/>
      <c r="B32" s="284"/>
      <c r="C32" s="283"/>
      <c r="D32" s="283"/>
      <c r="E32" s="283"/>
      <c r="F32" s="274"/>
      <c r="G32" s="290"/>
      <c r="H32" s="284"/>
      <c r="I32" s="274"/>
      <c r="J32" s="274"/>
      <c r="K32" s="274"/>
      <c r="L32" s="274"/>
      <c r="M32" s="285"/>
      <c r="N32" s="285"/>
      <c r="O32" s="285"/>
    </row>
    <row r="33" spans="1:15" ht="15.75">
      <c r="A33" s="290"/>
      <c r="B33" s="284"/>
      <c r="C33" s="657" t="s">
        <v>63</v>
      </c>
      <c r="D33" s="658"/>
      <c r="E33" s="662"/>
      <c r="F33" s="657" t="str">
        <f>C15</f>
        <v>Lago Azul (Novo Gama)/GO - Brasilia/DF</v>
      </c>
      <c r="G33" s="662"/>
      <c r="H33" s="291">
        <f>LARGE(H5:H30,1)</f>
        <v>12.05</v>
      </c>
      <c r="I33" s="274"/>
      <c r="J33" s="274"/>
      <c r="K33" s="274"/>
      <c r="L33" s="274"/>
      <c r="M33" s="285"/>
      <c r="N33" s="285"/>
      <c r="O33" s="285"/>
    </row>
    <row r="34" spans="1:15" ht="15.75">
      <c r="A34" s="290"/>
      <c r="B34" s="284"/>
      <c r="C34" s="283"/>
      <c r="D34" s="283"/>
      <c r="E34" s="283"/>
      <c r="F34" s="274"/>
      <c r="G34" s="290"/>
      <c r="H34" s="284"/>
      <c r="I34" s="274"/>
      <c r="J34" s="274"/>
      <c r="K34" s="274"/>
      <c r="L34" s="274"/>
      <c r="M34" s="285"/>
      <c r="N34" s="285"/>
      <c r="O34" s="285"/>
    </row>
    <row r="35" spans="1:15" ht="15.75">
      <c r="A35" s="290"/>
      <c r="B35" s="284"/>
      <c r="C35" s="283"/>
      <c r="D35" s="283"/>
      <c r="E35" s="283"/>
      <c r="F35" s="274"/>
      <c r="G35" s="290"/>
      <c r="H35" s="284"/>
      <c r="I35" s="274"/>
      <c r="J35" s="274"/>
      <c r="K35" s="274"/>
      <c r="L35" s="274"/>
      <c r="M35" s="285"/>
      <c r="N35" s="285"/>
      <c r="O35" s="285"/>
    </row>
    <row r="36" spans="1:15" ht="15.75">
      <c r="A36" s="290"/>
      <c r="B36" s="284"/>
      <c r="C36" s="283"/>
      <c r="D36" s="283"/>
      <c r="E36" s="283"/>
      <c r="F36" s="274"/>
      <c r="G36" s="290"/>
      <c r="H36" s="284"/>
      <c r="I36" s="274"/>
      <c r="J36" s="274"/>
      <c r="K36" s="274"/>
      <c r="L36" s="274"/>
      <c r="M36" s="285"/>
      <c r="N36" s="285"/>
      <c r="O36" s="285"/>
    </row>
    <row r="37" spans="1:15" ht="15.75">
      <c r="A37" s="290"/>
      <c r="B37" s="284"/>
      <c r="C37" s="283"/>
      <c r="D37" s="283"/>
      <c r="E37" s="283"/>
      <c r="F37" s="274"/>
      <c r="G37" s="290"/>
      <c r="H37" s="284"/>
      <c r="I37" s="274"/>
      <c r="J37" s="274"/>
      <c r="K37" s="274"/>
      <c r="L37" s="274"/>
      <c r="M37" s="285"/>
      <c r="N37" s="285"/>
      <c r="O37" s="285"/>
    </row>
    <row r="38" spans="1:15" ht="55.5" customHeight="1">
      <c r="A38" s="290"/>
      <c r="B38" s="290"/>
      <c r="C38" s="659" t="s">
        <v>64</v>
      </c>
      <c r="D38" s="660"/>
      <c r="E38" s="292"/>
      <c r="F38" s="292"/>
      <c r="G38" s="290"/>
      <c r="H38" s="284"/>
      <c r="I38" s="274"/>
      <c r="J38" s="274"/>
      <c r="K38" s="274"/>
      <c r="L38" s="274"/>
      <c r="M38" s="285"/>
      <c r="N38" s="285"/>
      <c r="O38" s="285"/>
    </row>
    <row r="39" spans="1:15" ht="15.75">
      <c r="A39" s="290"/>
      <c r="B39" s="290"/>
      <c r="C39" s="293" t="s">
        <v>65</v>
      </c>
      <c r="D39" s="293" t="s">
        <v>66</v>
      </c>
      <c r="E39" s="283"/>
      <c r="F39" s="274"/>
      <c r="G39" s="290"/>
      <c r="H39" s="284"/>
      <c r="I39" s="274"/>
      <c r="J39" s="274"/>
      <c r="K39" s="274"/>
      <c r="L39" s="274"/>
      <c r="M39" s="285"/>
      <c r="N39" s="285"/>
      <c r="O39" s="285"/>
    </row>
    <row r="40" spans="1:15" ht="15.75">
      <c r="A40" s="290"/>
      <c r="B40" s="290"/>
      <c r="C40" s="294" t="s">
        <v>67</v>
      </c>
      <c r="D40" s="295">
        <v>2.7</v>
      </c>
      <c r="E40" s="283"/>
      <c r="F40" s="274"/>
      <c r="G40" s="290"/>
      <c r="H40" s="284"/>
      <c r="I40" s="274"/>
      <c r="J40" s="274"/>
      <c r="K40" s="274"/>
      <c r="L40" s="274"/>
      <c r="M40" s="285"/>
      <c r="N40" s="285"/>
      <c r="O40" s="285"/>
    </row>
    <row r="41" spans="1:15" ht="30">
      <c r="A41" s="290"/>
      <c r="B41" s="290"/>
      <c r="C41" s="296" t="s">
        <v>68</v>
      </c>
      <c r="D41" s="297">
        <v>3.8</v>
      </c>
      <c r="E41" s="283"/>
      <c r="F41" s="274"/>
      <c r="G41" s="290"/>
      <c r="H41" s="284"/>
      <c r="I41" s="274"/>
      <c r="J41" s="274"/>
      <c r="K41" s="274"/>
      <c r="L41" s="274"/>
      <c r="M41" s="285"/>
      <c r="N41" s="285"/>
      <c r="O41" s="285"/>
    </row>
    <row r="42" spans="1:15" ht="15.75">
      <c r="A42" s="290"/>
      <c r="B42" s="290"/>
      <c r="C42" s="298" t="s">
        <v>69</v>
      </c>
      <c r="D42" s="299">
        <v>5.5</v>
      </c>
      <c r="E42" s="283"/>
      <c r="F42" s="274"/>
      <c r="G42" s="290"/>
      <c r="H42" s="284"/>
      <c r="I42" s="274"/>
      <c r="J42" s="274"/>
      <c r="K42" s="274"/>
      <c r="L42" s="274"/>
      <c r="M42" s="285"/>
      <c r="N42" s="285"/>
      <c r="O42" s="285"/>
    </row>
    <row r="43" spans="1:15" ht="15.75">
      <c r="A43" s="290"/>
      <c r="B43" s="284"/>
      <c r="C43" s="283"/>
      <c r="D43" s="283"/>
      <c r="E43" s="283"/>
      <c r="F43" s="274"/>
      <c r="G43" s="290"/>
      <c r="H43" s="284"/>
      <c r="I43" s="274"/>
      <c r="J43" s="274"/>
      <c r="K43" s="274"/>
      <c r="L43" s="274"/>
      <c r="M43" s="285"/>
      <c r="N43" s="285"/>
      <c r="O43" s="285"/>
    </row>
    <row r="44" spans="1:15" ht="15.75">
      <c r="A44" s="290"/>
      <c r="B44" s="284"/>
      <c r="C44" s="283"/>
      <c r="D44" s="283"/>
      <c r="E44" s="283"/>
      <c r="F44" s="274"/>
      <c r="G44" s="290"/>
      <c r="H44" s="284"/>
      <c r="I44" s="274"/>
      <c r="J44" s="274"/>
      <c r="K44" s="274"/>
      <c r="L44" s="274"/>
      <c r="M44" s="285"/>
      <c r="N44" s="285"/>
      <c r="O44" s="285"/>
    </row>
    <row r="45" spans="1:15" ht="15.75">
      <c r="A45" s="290"/>
      <c r="B45" s="284"/>
      <c r="C45" s="300" t="s">
        <v>70</v>
      </c>
      <c r="D45" s="300" t="s">
        <v>71</v>
      </c>
      <c r="E45" s="300" t="s">
        <v>72</v>
      </c>
      <c r="F45" s="300" t="s">
        <v>66</v>
      </c>
      <c r="G45" s="290"/>
      <c r="H45" s="284"/>
      <c r="I45" s="274"/>
      <c r="J45" s="274"/>
      <c r="K45" s="274"/>
      <c r="L45" s="274"/>
      <c r="M45" s="285"/>
      <c r="N45" s="285"/>
      <c r="O45" s="285"/>
    </row>
    <row r="46" spans="1:15" ht="15.75">
      <c r="A46" s="290"/>
      <c r="B46" s="284"/>
      <c r="C46" s="301" t="s">
        <v>73</v>
      </c>
      <c r="D46" s="301" t="s">
        <v>74</v>
      </c>
      <c r="E46" s="301" t="s">
        <v>75</v>
      </c>
      <c r="F46" s="299">
        <v>3.8</v>
      </c>
      <c r="G46" s="290"/>
      <c r="H46" s="284"/>
      <c r="I46" s="274"/>
      <c r="J46" s="274"/>
      <c r="K46" s="274"/>
      <c r="L46" s="274"/>
      <c r="M46" s="285"/>
      <c r="N46" s="285"/>
      <c r="O46" s="285"/>
    </row>
    <row r="47" spans="1:15" ht="15.75">
      <c r="A47" s="290"/>
      <c r="B47" s="284"/>
      <c r="C47" s="301" t="s">
        <v>76</v>
      </c>
      <c r="D47" s="301" t="s">
        <v>74</v>
      </c>
      <c r="E47" s="301" t="s">
        <v>75</v>
      </c>
      <c r="F47" s="299">
        <v>3.8</v>
      </c>
      <c r="G47" s="290"/>
      <c r="H47" s="284"/>
      <c r="I47" s="274"/>
      <c r="J47" s="274"/>
      <c r="K47" s="274"/>
      <c r="L47" s="274"/>
      <c r="M47" s="285"/>
      <c r="N47" s="285"/>
      <c r="O47" s="285"/>
    </row>
    <row r="48" spans="1:15" ht="15.75">
      <c r="A48" s="290"/>
      <c r="B48" s="284"/>
      <c r="C48" s="301" t="s">
        <v>77</v>
      </c>
      <c r="D48" s="301" t="s">
        <v>74</v>
      </c>
      <c r="E48" s="301" t="s">
        <v>75</v>
      </c>
      <c r="F48" s="299">
        <v>3.8</v>
      </c>
      <c r="G48" s="290"/>
      <c r="H48" s="284"/>
      <c r="I48" s="274"/>
      <c r="J48" s="274"/>
      <c r="K48" s="274"/>
      <c r="L48" s="274"/>
      <c r="M48" s="285"/>
      <c r="N48" s="285"/>
      <c r="O48" s="285"/>
    </row>
    <row r="49" spans="1:15" ht="15.75">
      <c r="A49" s="290"/>
      <c r="B49" s="284"/>
      <c r="C49" s="301" t="s">
        <v>78</v>
      </c>
      <c r="D49" s="301" t="s">
        <v>74</v>
      </c>
      <c r="E49" s="301" t="s">
        <v>75</v>
      </c>
      <c r="F49" s="299">
        <v>3.8</v>
      </c>
      <c r="G49" s="290"/>
      <c r="H49" s="284"/>
      <c r="I49" s="274"/>
      <c r="J49" s="274"/>
      <c r="K49" s="274"/>
      <c r="L49" s="274"/>
      <c r="M49" s="285"/>
      <c r="N49" s="285"/>
      <c r="O49" s="285"/>
    </row>
    <row r="50" spans="1:15" ht="15.75">
      <c r="A50" s="290"/>
      <c r="B50" s="284"/>
      <c r="C50" s="301" t="s">
        <v>79</v>
      </c>
      <c r="D50" s="301" t="s">
        <v>74</v>
      </c>
      <c r="E50" s="301" t="s">
        <v>75</v>
      </c>
      <c r="F50" s="299">
        <v>3.8</v>
      </c>
      <c r="G50" s="290"/>
      <c r="H50" s="284"/>
      <c r="I50" s="274"/>
      <c r="J50" s="274"/>
      <c r="K50" s="274"/>
      <c r="L50" s="274"/>
      <c r="M50" s="285"/>
      <c r="N50" s="285"/>
      <c r="O50" s="285"/>
    </row>
    <row r="51" spans="1:15" ht="15.75">
      <c r="A51" s="290"/>
      <c r="B51" s="284"/>
      <c r="C51" s="301" t="s">
        <v>80</v>
      </c>
      <c r="D51" s="301" t="s">
        <v>74</v>
      </c>
      <c r="E51" s="301" t="s">
        <v>81</v>
      </c>
      <c r="F51" s="299">
        <v>3.8</v>
      </c>
      <c r="G51" s="290"/>
      <c r="H51" s="284"/>
      <c r="I51" s="274"/>
      <c r="J51" s="274"/>
      <c r="K51" s="274"/>
      <c r="L51" s="274"/>
      <c r="M51" s="285"/>
      <c r="N51" s="285"/>
      <c r="O51" s="285"/>
    </row>
    <row r="52" spans="1:15" ht="15.75">
      <c r="A52" s="290"/>
      <c r="B52" s="284"/>
      <c r="C52" s="301" t="s">
        <v>82</v>
      </c>
      <c r="D52" s="301" t="s">
        <v>74</v>
      </c>
      <c r="E52" s="301" t="s">
        <v>81</v>
      </c>
      <c r="F52" s="299">
        <v>3.8</v>
      </c>
      <c r="G52" s="290"/>
      <c r="H52" s="284"/>
      <c r="I52" s="274"/>
      <c r="J52" s="274"/>
      <c r="K52" s="274"/>
      <c r="L52" s="274"/>
      <c r="M52" s="285"/>
      <c r="N52" s="285"/>
      <c r="O52" s="285"/>
    </row>
    <row r="53" spans="1:15" ht="15.75">
      <c r="A53" s="290"/>
      <c r="B53" s="284"/>
      <c r="C53" s="301" t="s">
        <v>83</v>
      </c>
      <c r="D53" s="301" t="s">
        <v>74</v>
      </c>
      <c r="E53" s="301" t="s">
        <v>81</v>
      </c>
      <c r="F53" s="299">
        <v>3.8</v>
      </c>
      <c r="G53" s="290"/>
      <c r="H53" s="284"/>
      <c r="I53" s="274"/>
      <c r="J53" s="274"/>
      <c r="K53" s="274"/>
      <c r="L53" s="274"/>
      <c r="M53" s="285"/>
      <c r="N53" s="285"/>
      <c r="O53" s="285"/>
    </row>
    <row r="54" spans="1:15" ht="15.75">
      <c r="A54" s="290"/>
      <c r="B54" s="284"/>
      <c r="C54" s="301" t="s">
        <v>84</v>
      </c>
      <c r="D54" s="301" t="s">
        <v>74</v>
      </c>
      <c r="E54" s="301" t="s">
        <v>81</v>
      </c>
      <c r="F54" s="299">
        <v>3.8</v>
      </c>
      <c r="G54" s="290"/>
      <c r="H54" s="284"/>
      <c r="I54" s="274"/>
      <c r="J54" s="274"/>
      <c r="K54" s="274"/>
      <c r="L54" s="274"/>
      <c r="M54" s="285"/>
      <c r="N54" s="285"/>
      <c r="O54" s="285"/>
    </row>
    <row r="55" spans="1:15" ht="15.75">
      <c r="A55" s="290"/>
      <c r="B55" s="284"/>
      <c r="C55" s="283"/>
      <c r="D55" s="283"/>
      <c r="E55" s="283"/>
      <c r="F55" s="274"/>
      <c r="G55" s="290"/>
      <c r="H55" s="284"/>
      <c r="I55" s="274"/>
      <c r="J55" s="274"/>
      <c r="K55" s="274"/>
      <c r="L55" s="274"/>
      <c r="M55" s="285"/>
      <c r="N55" s="285"/>
      <c r="O55" s="285"/>
    </row>
    <row r="56" spans="1:15" ht="15.75">
      <c r="A56" s="290"/>
      <c r="B56" s="284"/>
      <c r="C56" s="283"/>
      <c r="D56" s="283"/>
      <c r="E56" s="283"/>
      <c r="F56" s="274"/>
      <c r="G56" s="290"/>
      <c r="H56" s="284"/>
      <c r="I56" s="274"/>
      <c r="J56" s="274"/>
      <c r="K56" s="274"/>
      <c r="L56" s="274"/>
      <c r="M56" s="285"/>
      <c r="N56" s="285"/>
      <c r="O56" s="285"/>
    </row>
    <row r="57" spans="1:15" ht="15.75">
      <c r="A57" s="290"/>
      <c r="B57" s="284"/>
      <c r="C57" s="657" t="s">
        <v>85</v>
      </c>
      <c r="D57" s="658"/>
      <c r="E57" s="291">
        <f>LARGE(F46:F54,1)</f>
        <v>3.8</v>
      </c>
      <c r="F57" s="274"/>
      <c r="G57" s="290"/>
      <c r="H57" s="284"/>
      <c r="I57" s="274"/>
      <c r="J57" s="274"/>
      <c r="K57" s="274"/>
      <c r="L57" s="274"/>
      <c r="M57" s="285"/>
      <c r="N57" s="285"/>
      <c r="O57" s="285"/>
    </row>
    <row r="58" spans="1:15" ht="15.75">
      <c r="A58" s="290"/>
      <c r="B58" s="284"/>
      <c r="C58" s="283"/>
      <c r="D58" s="283"/>
      <c r="E58" s="283"/>
      <c r="F58" s="274"/>
      <c r="G58" s="290"/>
      <c r="H58" s="284"/>
      <c r="I58" s="274"/>
      <c r="J58" s="274"/>
      <c r="K58" s="274"/>
      <c r="L58" s="274"/>
      <c r="M58" s="285"/>
      <c r="N58" s="285"/>
      <c r="O58" s="285"/>
    </row>
    <row r="59" spans="1:15" ht="15.75">
      <c r="A59" s="290"/>
      <c r="B59" s="284"/>
      <c r="C59" s="283"/>
      <c r="D59" s="283"/>
      <c r="E59" s="283"/>
      <c r="F59" s="274"/>
      <c r="G59" s="290"/>
      <c r="H59" s="284"/>
      <c r="I59" s="274"/>
      <c r="J59" s="274"/>
      <c r="K59" s="274"/>
      <c r="L59" s="274"/>
      <c r="M59" s="285"/>
      <c r="N59" s="285"/>
      <c r="O59" s="285"/>
    </row>
    <row r="60" spans="1:15" ht="15.75">
      <c r="A60" s="271"/>
      <c r="B60" s="272"/>
      <c r="C60" s="273"/>
      <c r="D60" s="273"/>
      <c r="E60" s="273"/>
      <c r="F60" s="274"/>
      <c r="G60" s="271"/>
      <c r="H60" s="272"/>
      <c r="I60" s="274"/>
      <c r="J60" s="274"/>
      <c r="K60" s="274"/>
      <c r="L60" s="274"/>
    </row>
    <row r="61" spans="1:15" ht="15.75">
      <c r="A61" s="271"/>
      <c r="B61" s="272"/>
      <c r="C61" s="273"/>
      <c r="D61" s="273"/>
      <c r="E61" s="273"/>
      <c r="F61" s="274"/>
      <c r="G61" s="271"/>
      <c r="H61" s="272"/>
      <c r="I61" s="274"/>
      <c r="J61" s="274"/>
      <c r="K61" s="274"/>
      <c r="L61" s="274"/>
    </row>
    <row r="62" spans="1:15" ht="15.75">
      <c r="A62" s="271"/>
      <c r="B62" s="272"/>
      <c r="C62" s="273"/>
      <c r="D62" s="273"/>
      <c r="E62" s="273"/>
      <c r="F62" s="274"/>
      <c r="G62" s="271"/>
      <c r="H62" s="272"/>
      <c r="I62" s="274"/>
      <c r="J62" s="274"/>
      <c r="K62" s="274"/>
      <c r="L62" s="274"/>
    </row>
  </sheetData>
  <autoFilter ref="A4:H23" xr:uid="{00000000-0009-0000-0000-000001000000}"/>
  <mergeCells count="7">
    <mergeCell ref="C57:D57"/>
    <mergeCell ref="C38:D38"/>
    <mergeCell ref="A2:H2"/>
    <mergeCell ref="F33:G33"/>
    <mergeCell ref="C33:E33"/>
    <mergeCell ref="A3:D3"/>
    <mergeCell ref="E3:H3"/>
  </mergeCells>
  <pageMargins left="0.31496062992125984" right="0.31496062992125984" top="0.39370078740157483" bottom="0.39370078740157483" header="0.31496062992125984" footer="0.31496062992125984"/>
  <pageSetup paperSize="9" scale="85"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B38"/>
  <sheetViews>
    <sheetView showGridLines="0" topLeftCell="A5" zoomScale="90" zoomScaleNormal="90" workbookViewId="0">
      <selection activeCell="K19" sqref="K19"/>
    </sheetView>
  </sheetViews>
  <sheetFormatPr defaultColWidth="9.140625" defaultRowHeight="18"/>
  <cols>
    <col min="1" max="1" width="9.140625" style="199"/>
    <col min="2" max="2" width="7.42578125" style="199" customWidth="1"/>
    <col min="3" max="3" width="70.7109375" style="200" customWidth="1"/>
    <col min="4" max="4" width="17.28515625" style="200" customWidth="1"/>
    <col min="5" max="5" width="19.42578125" style="200" customWidth="1"/>
    <col min="6" max="6" width="28.140625" style="200" customWidth="1"/>
    <col min="7" max="7" width="22.42578125" style="200" customWidth="1"/>
    <col min="8" max="8" width="19.42578125" style="200" customWidth="1"/>
    <col min="9" max="9" width="14.42578125" style="200" customWidth="1"/>
    <col min="10" max="10" width="16" style="200" customWidth="1"/>
    <col min="11" max="11" width="11.140625" style="200" customWidth="1"/>
    <col min="12" max="13" width="9.140625" style="199"/>
    <col min="14" max="14" width="26.140625" style="199" customWidth="1"/>
    <col min="15" max="15" width="20.140625" style="199" customWidth="1"/>
    <col min="16" max="16384" width="9.140625" style="199"/>
  </cols>
  <sheetData>
    <row r="1" spans="1:14" ht="15.75">
      <c r="A1" s="314"/>
      <c r="B1" s="314"/>
      <c r="C1" s="315"/>
      <c r="D1" s="315"/>
      <c r="E1" s="315"/>
      <c r="F1" s="315"/>
      <c r="G1" s="315"/>
      <c r="H1" s="315"/>
      <c r="I1" s="315"/>
      <c r="J1" s="315"/>
      <c r="K1" s="315"/>
      <c r="L1" s="314"/>
      <c r="M1" s="314"/>
      <c r="N1" s="314"/>
    </row>
    <row r="2" spans="1:14" ht="15.75">
      <c r="A2" s="314"/>
      <c r="B2" s="685" t="s">
        <v>86</v>
      </c>
      <c r="C2" s="690" t="s">
        <v>86</v>
      </c>
      <c r="D2" s="691"/>
      <c r="E2" s="315"/>
      <c r="F2" s="315"/>
      <c r="G2" s="315"/>
      <c r="H2" s="315"/>
      <c r="I2" s="315"/>
      <c r="J2" s="315"/>
      <c r="K2" s="315"/>
      <c r="L2" s="314"/>
      <c r="M2" s="314"/>
      <c r="N2" s="314"/>
    </row>
    <row r="3" spans="1:14" ht="18" customHeight="1">
      <c r="A3" s="314"/>
      <c r="B3" s="686"/>
      <c r="C3" s="692"/>
      <c r="D3" s="693"/>
      <c r="E3" s="316" t="s">
        <v>87</v>
      </c>
      <c r="F3" s="315"/>
      <c r="G3" s="315"/>
      <c r="H3" s="315"/>
      <c r="I3" s="315"/>
      <c r="J3" s="315"/>
      <c r="K3" s="315"/>
      <c r="L3" s="314"/>
      <c r="M3" s="314"/>
      <c r="N3" s="314"/>
    </row>
    <row r="4" spans="1:14" ht="15.75">
      <c r="A4" s="314"/>
      <c r="B4" s="686"/>
      <c r="C4" s="316" t="s">
        <v>88</v>
      </c>
      <c r="D4" s="317" t="s">
        <v>89</v>
      </c>
      <c r="E4" s="317" t="s">
        <v>90</v>
      </c>
      <c r="F4" s="317" t="s">
        <v>91</v>
      </c>
      <c r="G4" s="317" t="s">
        <v>92</v>
      </c>
      <c r="H4" s="317" t="s">
        <v>93</v>
      </c>
      <c r="I4" s="317" t="s">
        <v>94</v>
      </c>
      <c r="J4" s="317" t="s">
        <v>95</v>
      </c>
      <c r="K4" s="318" t="s">
        <v>96</v>
      </c>
      <c r="L4" s="314"/>
      <c r="M4" s="314"/>
      <c r="N4" s="314"/>
    </row>
    <row r="5" spans="1:14" ht="15.75">
      <c r="A5" s="314"/>
      <c r="B5" s="686"/>
      <c r="C5" s="316">
        <v>1</v>
      </c>
      <c r="D5" s="319">
        <v>0.375</v>
      </c>
      <c r="E5" s="319">
        <f>D5</f>
        <v>0.375</v>
      </c>
      <c r="F5" s="319">
        <f t="shared" ref="F5:G5" si="0">E5</f>
        <v>0.375</v>
      </c>
      <c r="G5" s="319">
        <f t="shared" si="0"/>
        <v>0.375</v>
      </c>
      <c r="H5" s="319">
        <v>0.33333333333333298</v>
      </c>
      <c r="I5" s="320"/>
      <c r="J5" s="320"/>
      <c r="K5" s="321">
        <f>HOUR(H5)+MINUTE(H5)/60+HOUR(D5)+MINUTE(D5)/60+HOUR(E5)+MINUTE(E5)/60+HOUR(F5)+MINUTE(F5)/60+HOUR(G5)+MINUTE(G5)/60</f>
        <v>44</v>
      </c>
      <c r="L5" s="314"/>
      <c r="M5" s="314"/>
      <c r="N5" s="314"/>
    </row>
    <row r="6" spans="1:14" ht="15.75">
      <c r="A6" s="314"/>
      <c r="B6" s="686"/>
      <c r="C6" s="316">
        <v>2</v>
      </c>
      <c r="D6" s="319">
        <f>D5</f>
        <v>0.375</v>
      </c>
      <c r="E6" s="319">
        <f t="shared" ref="E6:H8" si="1">E5</f>
        <v>0.375</v>
      </c>
      <c r="F6" s="319">
        <f t="shared" si="1"/>
        <v>0.375</v>
      </c>
      <c r="G6" s="319">
        <f t="shared" si="1"/>
        <v>0.375</v>
      </c>
      <c r="H6" s="319">
        <f t="shared" si="1"/>
        <v>0.33333333333333298</v>
      </c>
      <c r="I6" s="320"/>
      <c r="J6" s="320"/>
      <c r="K6" s="321">
        <f>HOUR(H6)+MINUTE(H6)/60+HOUR(D6)+MINUTE(D6)/60+HOUR(E6)+MINUTE(E6)/60+HOUR(F6)+MINUTE(F6)/60+HOUR(G6)+MINUTE(G6)/60</f>
        <v>44</v>
      </c>
      <c r="L6" s="314"/>
      <c r="M6" s="314"/>
      <c r="N6" s="314"/>
    </row>
    <row r="7" spans="1:14" ht="15.75">
      <c r="A7" s="314"/>
      <c r="B7" s="686"/>
      <c r="C7" s="316">
        <v>3</v>
      </c>
      <c r="D7" s="319">
        <f>D6</f>
        <v>0.375</v>
      </c>
      <c r="E7" s="319">
        <f t="shared" si="1"/>
        <v>0.375</v>
      </c>
      <c r="F7" s="319">
        <f t="shared" si="1"/>
        <v>0.375</v>
      </c>
      <c r="G7" s="319">
        <f t="shared" si="1"/>
        <v>0.375</v>
      </c>
      <c r="H7" s="319">
        <f t="shared" si="1"/>
        <v>0.33333333333333298</v>
      </c>
      <c r="I7" s="320"/>
      <c r="J7" s="320"/>
      <c r="K7" s="321">
        <f>HOUR(H7)+MINUTE(H7)/60+HOUR(D7)+MINUTE(D7)/60+HOUR(E7)+MINUTE(E7)/60+HOUR(F7)+MINUTE(F7)/60+HOUR(G7)+MINUTE(G7)/60</f>
        <v>44</v>
      </c>
      <c r="L7" s="314"/>
      <c r="M7" s="314"/>
      <c r="N7" s="314"/>
    </row>
    <row r="8" spans="1:14" ht="15.75">
      <c r="A8" s="314"/>
      <c r="B8" s="686"/>
      <c r="C8" s="316">
        <v>4</v>
      </c>
      <c r="D8" s="319">
        <f>D7</f>
        <v>0.375</v>
      </c>
      <c r="E8" s="319">
        <f t="shared" si="1"/>
        <v>0.375</v>
      </c>
      <c r="F8" s="319">
        <f t="shared" si="1"/>
        <v>0.375</v>
      </c>
      <c r="G8" s="319">
        <f t="shared" si="1"/>
        <v>0.375</v>
      </c>
      <c r="H8" s="319">
        <f t="shared" si="1"/>
        <v>0.33333333333333298</v>
      </c>
      <c r="I8" s="320"/>
      <c r="J8" s="320"/>
      <c r="K8" s="321">
        <f>HOUR(H8)+MINUTE(H8)/60+HOUR(D8)+MINUTE(D8)/60+HOUR(E8)+MINUTE(E8)/60+HOUR(F8)+MINUTE(F8)/60+HOUR(G8)+MINUTE(G8)/60</f>
        <v>44</v>
      </c>
      <c r="L8" s="314"/>
      <c r="M8" s="314"/>
      <c r="N8" s="314"/>
    </row>
    <row r="9" spans="1:14" ht="15.75">
      <c r="A9" s="314"/>
      <c r="B9" s="686"/>
      <c r="C9" s="316">
        <v>5</v>
      </c>
      <c r="D9" s="319">
        <f>D8</f>
        <v>0.375</v>
      </c>
      <c r="E9" s="319">
        <f>E8</f>
        <v>0.375</v>
      </c>
      <c r="F9" s="320"/>
      <c r="G9" s="320"/>
      <c r="H9" s="320"/>
      <c r="I9" s="320"/>
      <c r="J9" s="320"/>
      <c r="K9" s="321">
        <f>HOUR(H9)+MINUTE(H9)/60+HOUR(D9)+MINUTE(D9)/60+HOUR(E9)+MINUTE(E9)/60+HOUR(F9)+MINUTE(F9)/60+HOUR(G9)+MINUTE(G9)/60</f>
        <v>18</v>
      </c>
      <c r="L9" s="314"/>
      <c r="M9" s="314"/>
      <c r="N9" s="314"/>
    </row>
    <row r="10" spans="1:14" ht="48" customHeight="1">
      <c r="A10" s="314"/>
      <c r="B10" s="687"/>
      <c r="C10" s="316" t="s">
        <v>97</v>
      </c>
      <c r="D10" s="322">
        <f>COUNTIF(D5:J9,"&gt;0")</f>
        <v>22</v>
      </c>
      <c r="E10" s="323"/>
      <c r="F10" s="323"/>
      <c r="G10" s="323"/>
      <c r="H10" s="323"/>
      <c r="I10" s="707" t="s">
        <v>98</v>
      </c>
      <c r="J10" s="707"/>
      <c r="K10" s="346">
        <f>SUM(K5:K9)</f>
        <v>194</v>
      </c>
      <c r="L10" s="314"/>
      <c r="M10" s="314"/>
      <c r="N10" s="314"/>
    </row>
    <row r="11" spans="1:14" ht="15.75">
      <c r="A11" s="314"/>
      <c r="B11" s="324"/>
      <c r="C11" s="315"/>
      <c r="D11" s="315"/>
      <c r="E11" s="315"/>
      <c r="F11" s="315"/>
      <c r="G11" s="315"/>
      <c r="H11" s="315"/>
      <c r="I11" s="315"/>
      <c r="J11" s="315"/>
      <c r="K11" s="315"/>
      <c r="L11" s="314"/>
      <c r="M11" s="314"/>
      <c r="N11" s="314"/>
    </row>
    <row r="12" spans="1:14" ht="15.75">
      <c r="A12" s="314"/>
      <c r="B12" s="325" t="s">
        <v>99</v>
      </c>
      <c r="C12" s="315"/>
      <c r="D12" s="315"/>
      <c r="E12" s="315"/>
      <c r="F12" s="315"/>
      <c r="G12" s="315"/>
      <c r="H12" s="315"/>
      <c r="I12" s="315"/>
      <c r="J12" s="315"/>
      <c r="K12" s="315"/>
      <c r="L12" s="314"/>
      <c r="M12" s="314"/>
      <c r="N12" s="314"/>
    </row>
    <row r="13" spans="1:14" ht="34.5" customHeight="1">
      <c r="A13" s="314"/>
      <c r="B13" s="708" t="s">
        <v>100</v>
      </c>
      <c r="C13" s="709"/>
      <c r="D13" s="709"/>
      <c r="E13" s="709"/>
      <c r="F13" s="709"/>
      <c r="G13" s="709"/>
      <c r="H13" s="709"/>
      <c r="I13" s="709"/>
      <c r="J13" s="709"/>
      <c r="K13" s="710"/>
      <c r="L13" s="314"/>
      <c r="M13" s="314"/>
      <c r="N13" s="314"/>
    </row>
    <row r="14" spans="1:14" ht="15" customHeight="1">
      <c r="A14" s="314"/>
      <c r="B14" s="326"/>
      <c r="C14" s="315"/>
      <c r="D14" s="327"/>
      <c r="E14" s="327"/>
      <c r="F14" s="335"/>
      <c r="G14" s="315"/>
      <c r="H14" s="315"/>
      <c r="I14" s="315"/>
      <c r="J14" s="328"/>
      <c r="K14" s="329"/>
      <c r="L14" s="314"/>
      <c r="M14" s="314"/>
      <c r="N14" s="314"/>
    </row>
    <row r="15" spans="1:14" ht="15" customHeight="1">
      <c r="A15" s="314"/>
      <c r="B15" s="314"/>
      <c r="C15" s="315"/>
      <c r="D15" s="327"/>
      <c r="E15" s="327"/>
      <c r="F15" s="335"/>
      <c r="G15" s="315"/>
      <c r="H15" s="315"/>
      <c r="I15" s="315"/>
      <c r="J15" s="328"/>
      <c r="K15" s="329"/>
      <c r="L15" s="314"/>
      <c r="M15" s="314"/>
      <c r="N15" s="314"/>
    </row>
    <row r="16" spans="1:14" ht="22.5" customHeight="1">
      <c r="A16" s="314"/>
      <c r="B16" s="314"/>
      <c r="C16" s="679" t="s">
        <v>101</v>
      </c>
      <c r="D16" s="680"/>
      <c r="E16" s="336"/>
      <c r="F16" s="336"/>
      <c r="G16" s="336"/>
      <c r="H16" s="336"/>
      <c r="I16" s="336"/>
      <c r="J16" s="336"/>
      <c r="K16" s="329"/>
      <c r="L16" s="314"/>
      <c r="M16" s="314"/>
      <c r="N16" s="314"/>
    </row>
    <row r="17" spans="1:28" ht="20.25" customHeight="1">
      <c r="A17" s="314"/>
      <c r="B17" s="314"/>
      <c r="C17" s="688" t="s">
        <v>2</v>
      </c>
      <c r="D17" s="681" t="s">
        <v>102</v>
      </c>
      <c r="E17" s="679" t="s">
        <v>103</v>
      </c>
      <c r="F17" s="680"/>
      <c r="G17" s="679" t="s">
        <v>104</v>
      </c>
      <c r="H17" s="680"/>
      <c r="I17" s="681" t="s">
        <v>105</v>
      </c>
      <c r="J17" s="681" t="s">
        <v>106</v>
      </c>
      <c r="K17" s="329"/>
      <c r="L17" s="314"/>
      <c r="M17" s="314"/>
      <c r="N17" s="314"/>
    </row>
    <row r="18" spans="1:28" ht="60.75" customHeight="1">
      <c r="A18" s="314"/>
      <c r="B18" s="314"/>
      <c r="C18" s="689"/>
      <c r="D18" s="682"/>
      <c r="E18" s="337" t="s">
        <v>107</v>
      </c>
      <c r="F18" s="337" t="s">
        <v>108</v>
      </c>
      <c r="G18" s="337" t="s">
        <v>109</v>
      </c>
      <c r="H18" s="337" t="s">
        <v>110</v>
      </c>
      <c r="I18" s="682"/>
      <c r="J18" s="682"/>
      <c r="K18" s="315"/>
      <c r="L18" s="314"/>
      <c r="M18" s="314"/>
      <c r="N18" s="314"/>
    </row>
    <row r="19" spans="1:28" ht="114" customHeight="1">
      <c r="A19" s="314"/>
      <c r="B19" s="314"/>
      <c r="C19" s="338" t="str">
        <f>CONCATENATE('Descrição postos'!C7, ", ",'Descrição postos'!C8)</f>
        <v>Garçom, Copeiro</v>
      </c>
      <c r="D19" s="339">
        <f>D10</f>
        <v>22</v>
      </c>
      <c r="E19" s="340">
        <f>'Tarifas 2025'!H33</f>
        <v>12.05</v>
      </c>
      <c r="F19" s="340">
        <f>'Tarifas 2025'!E57</f>
        <v>3.8</v>
      </c>
      <c r="G19" s="340">
        <f>'Tarifas 2025'!E57</f>
        <v>3.8</v>
      </c>
      <c r="H19" s="340">
        <f>'Tarifas 2025'!H33</f>
        <v>12.05</v>
      </c>
      <c r="I19" s="340">
        <f>E19+F19+G19+H19</f>
        <v>31.700000000000003</v>
      </c>
      <c r="J19" s="340">
        <f>D19*I19</f>
        <v>697.40000000000009</v>
      </c>
      <c r="K19" s="315"/>
      <c r="L19" s="314"/>
      <c r="M19" s="314"/>
      <c r="N19" s="314"/>
    </row>
    <row r="20" spans="1:28" ht="27" customHeight="1">
      <c r="A20" s="314"/>
      <c r="B20" s="314"/>
      <c r="C20" s="341" t="s">
        <v>111</v>
      </c>
      <c r="D20" s="342"/>
      <c r="E20" s="343"/>
      <c r="F20" s="343"/>
      <c r="G20" s="343"/>
      <c r="H20" s="343"/>
      <c r="I20" s="343"/>
      <c r="J20" s="343"/>
      <c r="K20" s="315"/>
      <c r="L20" s="314"/>
      <c r="M20" s="314"/>
      <c r="N20" s="314"/>
    </row>
    <row r="21" spans="1:28" ht="31.5" customHeight="1">
      <c r="A21" s="314"/>
      <c r="B21" s="314"/>
      <c r="C21" s="668" t="s">
        <v>112</v>
      </c>
      <c r="D21" s="669"/>
      <c r="E21" s="669"/>
      <c r="F21" s="669"/>
      <c r="G21" s="669"/>
      <c r="H21" s="669"/>
      <c r="I21" s="669"/>
      <c r="J21" s="670"/>
      <c r="K21" s="315"/>
      <c r="L21" s="314"/>
      <c r="M21" s="314"/>
      <c r="N21" s="314"/>
    </row>
    <row r="22" spans="1:28" ht="15.75">
      <c r="A22" s="314"/>
      <c r="B22" s="314"/>
      <c r="C22" s="315"/>
      <c r="D22" s="315"/>
      <c r="E22" s="315"/>
      <c r="F22" s="315"/>
      <c r="G22" s="315"/>
      <c r="H22" s="315"/>
      <c r="I22" s="315"/>
      <c r="J22" s="315"/>
      <c r="K22" s="315"/>
      <c r="L22" s="314"/>
      <c r="M22" s="314"/>
      <c r="N22" s="314"/>
    </row>
    <row r="23" spans="1:28" s="198" customFormat="1" ht="18" customHeight="1">
      <c r="A23" s="330"/>
      <c r="B23" s="330"/>
      <c r="C23" s="671" t="s">
        <v>113</v>
      </c>
      <c r="D23" s="672"/>
      <c r="E23" s="671" t="s">
        <v>114</v>
      </c>
      <c r="F23" s="673"/>
      <c r="G23" s="673"/>
      <c r="H23" s="673"/>
      <c r="I23" s="673"/>
      <c r="J23" s="673"/>
      <c r="K23" s="672"/>
      <c r="L23" s="330"/>
      <c r="M23" s="344"/>
      <c r="N23" s="344"/>
      <c r="O23" s="123"/>
      <c r="P23" s="123"/>
      <c r="Q23" s="123"/>
      <c r="R23" s="123"/>
      <c r="S23" s="123"/>
      <c r="T23" s="123"/>
      <c r="U23" s="123"/>
      <c r="V23" s="123"/>
      <c r="W23" s="123"/>
      <c r="X23" s="123"/>
      <c r="Y23" s="123"/>
      <c r="Z23" s="123"/>
      <c r="AA23" s="123"/>
      <c r="AB23" s="123"/>
    </row>
    <row r="24" spans="1:28" s="198" customFormat="1" ht="15.75">
      <c r="A24" s="330"/>
      <c r="B24" s="330"/>
      <c r="C24" s="674">
        <f>'Tarifas 2025'!H33</f>
        <v>12.05</v>
      </c>
      <c r="D24" s="675"/>
      <c r="E24" s="676" t="s">
        <v>115</v>
      </c>
      <c r="F24" s="677"/>
      <c r="G24" s="677"/>
      <c r="H24" s="677"/>
      <c r="I24" s="677"/>
      <c r="J24" s="677"/>
      <c r="K24" s="678"/>
      <c r="L24" s="330"/>
      <c r="M24" s="344"/>
      <c r="N24" s="344"/>
      <c r="O24" s="123"/>
      <c r="P24" s="123"/>
      <c r="Q24" s="123"/>
      <c r="R24" s="123"/>
      <c r="S24" s="123"/>
      <c r="T24" s="123"/>
      <c r="U24" s="123"/>
      <c r="V24" s="123"/>
      <c r="W24" s="123"/>
      <c r="X24" s="123"/>
      <c r="Y24" s="123"/>
      <c r="Z24" s="123"/>
      <c r="AA24" s="123"/>
      <c r="AB24" s="123"/>
    </row>
    <row r="25" spans="1:28" s="198" customFormat="1" ht="15.75">
      <c r="A25" s="330"/>
      <c r="B25" s="330"/>
      <c r="C25" s="700">
        <f>'Tarifas 2025'!E57</f>
        <v>3.8</v>
      </c>
      <c r="D25" s="700"/>
      <c r="E25" s="701" t="s">
        <v>116</v>
      </c>
      <c r="F25" s="702"/>
      <c r="G25" s="702"/>
      <c r="H25" s="702"/>
      <c r="I25" s="702"/>
      <c r="J25" s="702"/>
      <c r="K25" s="703"/>
      <c r="L25" s="330"/>
      <c r="M25" s="344"/>
      <c r="N25" s="344"/>
      <c r="O25" s="123"/>
      <c r="P25" s="123"/>
      <c r="Q25" s="123"/>
      <c r="R25" s="123"/>
      <c r="S25" s="123"/>
      <c r="T25" s="123"/>
      <c r="U25" s="123"/>
      <c r="V25" s="123"/>
      <c r="W25" s="123"/>
      <c r="X25" s="123"/>
      <c r="Y25" s="123"/>
      <c r="Z25" s="123"/>
      <c r="AA25" s="123"/>
      <c r="AB25" s="123"/>
    </row>
    <row r="26" spans="1:28" s="198" customFormat="1" ht="15.75">
      <c r="A26" s="330"/>
      <c r="B26" s="330"/>
      <c r="C26" s="331"/>
      <c r="D26" s="331"/>
      <c r="E26" s="331"/>
      <c r="F26" s="331"/>
      <c r="G26" s="331"/>
      <c r="H26" s="331"/>
      <c r="I26" s="331"/>
      <c r="J26" s="331"/>
      <c r="K26" s="331"/>
      <c r="L26" s="330"/>
      <c r="M26" s="344"/>
      <c r="N26" s="344"/>
      <c r="O26" s="123"/>
      <c r="P26" s="123"/>
      <c r="Q26" s="123"/>
      <c r="R26" s="123"/>
      <c r="S26" s="123"/>
      <c r="T26" s="123"/>
      <c r="U26" s="123"/>
      <c r="V26" s="123"/>
      <c r="W26" s="123"/>
      <c r="X26" s="123"/>
      <c r="Y26" s="123"/>
      <c r="Z26" s="123"/>
      <c r="AA26" s="123"/>
      <c r="AB26" s="123"/>
    </row>
    <row r="27" spans="1:28" s="198" customFormat="1" ht="26.25" customHeight="1">
      <c r="A27" s="330"/>
      <c r="B27" s="330"/>
      <c r="C27" s="704" t="s">
        <v>117</v>
      </c>
      <c r="D27" s="705"/>
      <c r="E27" s="705"/>
      <c r="F27" s="705"/>
      <c r="G27" s="705"/>
      <c r="H27" s="706"/>
      <c r="I27" s="330"/>
      <c r="J27" s="344"/>
      <c r="K27" s="344"/>
      <c r="L27" s="344"/>
      <c r="M27" s="344"/>
      <c r="N27" s="344"/>
      <c r="O27" s="123"/>
      <c r="P27" s="123"/>
      <c r="Q27" s="123"/>
      <c r="R27" s="123"/>
      <c r="S27" s="123"/>
      <c r="T27" s="123"/>
      <c r="U27" s="123"/>
      <c r="V27" s="123"/>
      <c r="W27" s="123"/>
      <c r="X27" s="123"/>
      <c r="Y27" s="123"/>
    </row>
    <row r="28" spans="1:28" s="198" customFormat="1" ht="55.5" customHeight="1">
      <c r="A28" s="330"/>
      <c r="B28" s="330"/>
      <c r="C28" s="666" t="s">
        <v>118</v>
      </c>
      <c r="D28" s="667"/>
      <c r="E28" s="666" t="s">
        <v>119</v>
      </c>
      <c r="F28" s="667"/>
      <c r="G28" s="332" t="s">
        <v>120</v>
      </c>
      <c r="H28" s="332" t="s">
        <v>121</v>
      </c>
      <c r="I28" s="330"/>
      <c r="J28" s="344"/>
      <c r="K28" s="344"/>
      <c r="L28" s="344"/>
      <c r="M28" s="344"/>
      <c r="N28" s="333"/>
      <c r="O28" s="201"/>
      <c r="P28" s="123"/>
      <c r="Q28" s="123"/>
      <c r="R28" s="123"/>
      <c r="S28" s="123"/>
      <c r="T28" s="123"/>
      <c r="U28" s="123"/>
      <c r="V28" s="123"/>
      <c r="W28" s="123"/>
      <c r="X28" s="123"/>
      <c r="Y28" s="123"/>
    </row>
    <row r="29" spans="1:28" s="198" customFormat="1" ht="30" customHeight="1">
      <c r="A29" s="330"/>
      <c r="B29" s="330"/>
      <c r="C29" s="694" t="s">
        <v>6</v>
      </c>
      <c r="D29" s="695"/>
      <c r="E29" s="696">
        <f>D10</f>
        <v>22</v>
      </c>
      <c r="F29" s="697"/>
      <c r="G29" s="334">
        <v>44.3</v>
      </c>
      <c r="H29" s="334">
        <f t="shared" ref="H29:H30" si="2">ROUND(G29*E29,2)</f>
        <v>974.6</v>
      </c>
      <c r="I29" s="330"/>
      <c r="J29" s="344"/>
      <c r="K29" s="344"/>
      <c r="L29" s="344"/>
      <c r="M29" s="344"/>
      <c r="N29" s="345"/>
      <c r="O29" s="202"/>
      <c r="P29" s="123"/>
      <c r="Q29" s="123"/>
      <c r="R29" s="123"/>
      <c r="S29" s="123"/>
      <c r="T29" s="123"/>
      <c r="U29" s="123"/>
      <c r="V29" s="123"/>
      <c r="W29" s="123"/>
      <c r="X29" s="123"/>
      <c r="Y29" s="123"/>
    </row>
    <row r="30" spans="1:28" s="198" customFormat="1" ht="30" customHeight="1">
      <c r="A30" s="330"/>
      <c r="B30" s="330"/>
      <c r="C30" s="694" t="s">
        <v>8</v>
      </c>
      <c r="D30" s="695"/>
      <c r="E30" s="696">
        <v>22</v>
      </c>
      <c r="F30" s="697"/>
      <c r="G30" s="334">
        <v>44.3</v>
      </c>
      <c r="H30" s="334">
        <f t="shared" si="2"/>
        <v>974.6</v>
      </c>
      <c r="I30" s="330"/>
      <c r="J30" s="344"/>
      <c r="K30" s="344"/>
      <c r="L30" s="344"/>
      <c r="M30" s="344"/>
      <c r="N30" s="345"/>
      <c r="O30" s="202"/>
      <c r="P30" s="123"/>
      <c r="Q30" s="123"/>
      <c r="R30" s="123"/>
      <c r="S30" s="123"/>
      <c r="T30" s="123"/>
      <c r="U30" s="123"/>
      <c r="V30" s="123"/>
      <c r="W30" s="123"/>
      <c r="X30" s="123"/>
      <c r="Y30" s="123"/>
    </row>
    <row r="31" spans="1:28" ht="26.25" customHeight="1">
      <c r="A31" s="314"/>
      <c r="B31" s="314"/>
      <c r="C31" s="698" t="s">
        <v>111</v>
      </c>
      <c r="D31" s="699"/>
      <c r="E31" s="315"/>
      <c r="F31" s="315"/>
      <c r="G31" s="315"/>
      <c r="H31" s="315"/>
      <c r="I31" s="315"/>
      <c r="J31" s="315"/>
      <c r="K31" s="315"/>
      <c r="L31" s="314"/>
      <c r="M31" s="314"/>
      <c r="N31" s="314"/>
    </row>
    <row r="32" spans="1:28" ht="95.25" customHeight="1">
      <c r="A32" s="314"/>
      <c r="B32" s="314"/>
      <c r="C32" s="683">
        <v>1</v>
      </c>
      <c r="D32" s="683"/>
      <c r="E32" s="684" t="s">
        <v>122</v>
      </c>
      <c r="F32" s="684"/>
      <c r="G32" s="684"/>
      <c r="H32" s="684"/>
      <c r="I32" s="315"/>
      <c r="J32" s="315"/>
      <c r="K32" s="315"/>
      <c r="L32" s="314"/>
      <c r="M32" s="314"/>
      <c r="N32" s="314"/>
    </row>
    <row r="33" spans="1:14" ht="15.75">
      <c r="A33" s="314"/>
      <c r="B33" s="314"/>
      <c r="C33" s="315"/>
      <c r="D33" s="315"/>
      <c r="E33" s="315"/>
      <c r="F33" s="315"/>
      <c r="G33" s="315"/>
      <c r="H33" s="315"/>
      <c r="I33" s="315"/>
      <c r="J33" s="315"/>
      <c r="K33" s="315"/>
      <c r="L33" s="314"/>
      <c r="M33" s="314"/>
      <c r="N33" s="314"/>
    </row>
    <row r="34" spans="1:14" ht="15.75">
      <c r="A34" s="314"/>
      <c r="B34" s="314"/>
      <c r="C34" s="315"/>
      <c r="D34" s="315"/>
      <c r="E34" s="315"/>
      <c r="F34" s="315"/>
      <c r="G34" s="315"/>
      <c r="H34" s="315"/>
      <c r="I34" s="315"/>
      <c r="J34" s="315"/>
      <c r="K34" s="315"/>
      <c r="L34" s="314"/>
      <c r="M34" s="314"/>
      <c r="N34" s="314"/>
    </row>
    <row r="35" spans="1:14" ht="15.75">
      <c r="A35" s="314"/>
      <c r="B35" s="314"/>
      <c r="C35" s="315"/>
      <c r="D35" s="315"/>
      <c r="E35" s="315"/>
      <c r="F35" s="315"/>
      <c r="G35" s="315"/>
      <c r="H35" s="315"/>
      <c r="I35" s="315"/>
      <c r="J35" s="315"/>
      <c r="K35" s="315"/>
      <c r="L35" s="314"/>
      <c r="M35" s="314"/>
      <c r="N35" s="314"/>
    </row>
    <row r="36" spans="1:14" ht="15.75">
      <c r="A36" s="314"/>
      <c r="B36" s="314"/>
      <c r="C36" s="315"/>
      <c r="D36" s="315"/>
      <c r="E36" s="315"/>
      <c r="F36" s="315"/>
      <c r="G36" s="315"/>
      <c r="H36" s="315"/>
      <c r="I36" s="315"/>
      <c r="J36" s="315"/>
      <c r="K36" s="315"/>
      <c r="L36" s="314"/>
      <c r="M36" s="314"/>
      <c r="N36" s="314"/>
    </row>
    <row r="37" spans="1:14" ht="15.75">
      <c r="A37" s="314"/>
      <c r="B37" s="314"/>
      <c r="C37" s="315"/>
      <c r="D37" s="315"/>
      <c r="E37" s="315"/>
      <c r="F37" s="315"/>
      <c r="G37" s="315"/>
      <c r="H37" s="315"/>
      <c r="I37" s="315"/>
      <c r="J37" s="315"/>
      <c r="K37" s="315"/>
      <c r="L37" s="314"/>
      <c r="M37" s="314"/>
      <c r="N37" s="314"/>
    </row>
    <row r="38" spans="1:14" ht="15.75">
      <c r="A38" s="314"/>
      <c r="B38" s="314"/>
      <c r="C38" s="315"/>
      <c r="D38" s="315"/>
      <c r="E38" s="315"/>
      <c r="F38" s="315"/>
      <c r="G38" s="315"/>
      <c r="H38" s="315"/>
      <c r="I38" s="315"/>
      <c r="J38" s="315"/>
      <c r="K38" s="315"/>
      <c r="L38" s="314"/>
      <c r="M38" s="314"/>
      <c r="N38" s="314"/>
    </row>
  </sheetData>
  <mergeCells count="28">
    <mergeCell ref="C32:D32"/>
    <mergeCell ref="E32:H32"/>
    <mergeCell ref="B2:B10"/>
    <mergeCell ref="C17:C18"/>
    <mergeCell ref="D17:D18"/>
    <mergeCell ref="C2:D3"/>
    <mergeCell ref="C29:D29"/>
    <mergeCell ref="E29:F29"/>
    <mergeCell ref="C31:D31"/>
    <mergeCell ref="C25:D25"/>
    <mergeCell ref="E25:K25"/>
    <mergeCell ref="C27:H27"/>
    <mergeCell ref="C30:D30"/>
    <mergeCell ref="E30:F30"/>
    <mergeCell ref="I10:J10"/>
    <mergeCell ref="B13:K13"/>
    <mergeCell ref="C16:D16"/>
    <mergeCell ref="E17:F17"/>
    <mergeCell ref="G17:H17"/>
    <mergeCell ref="I17:I18"/>
    <mergeCell ref="J17:J18"/>
    <mergeCell ref="C28:D28"/>
    <mergeCell ref="E28:F28"/>
    <mergeCell ref="C21:J21"/>
    <mergeCell ref="C23:D23"/>
    <mergeCell ref="E23:K23"/>
    <mergeCell ref="C24:D24"/>
    <mergeCell ref="E24:K24"/>
  </mergeCells>
  <printOptions horizontalCentered="1" verticalCentered="1"/>
  <pageMargins left="0.511811023622047" right="0.511811023622047" top="0.78740157480314998" bottom="0.78740157480314998" header="0.31496062992126" footer="0.31496062992126"/>
  <pageSetup paperSize="9" scale="38"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1:W107"/>
  <sheetViews>
    <sheetView topLeftCell="A55" workbookViewId="0">
      <pane xSplit="1" topLeftCell="C1" activePane="topRight" state="frozen"/>
      <selection pane="topRight" activeCell="V19" sqref="V19"/>
    </sheetView>
  </sheetViews>
  <sheetFormatPr defaultColWidth="9.140625" defaultRowHeight="12" customHeight="1"/>
  <cols>
    <col min="1" max="1" width="4.42578125" customWidth="1"/>
    <col min="2" max="2" width="5.7109375" customWidth="1"/>
    <col min="3" max="3" width="71.140625" customWidth="1"/>
    <col min="4" max="4" width="15.28515625" customWidth="1"/>
    <col min="5" max="8" width="10.7109375" customWidth="1"/>
    <col min="9" max="9" width="19.140625" customWidth="1"/>
    <col min="10" max="10" width="12.7109375" customWidth="1"/>
    <col min="11" max="11" width="21.85546875" customWidth="1"/>
    <col min="12" max="12" width="12.140625" hidden="1" customWidth="1"/>
    <col min="13" max="13" width="13.7109375" hidden="1" customWidth="1"/>
    <col min="14" max="14" width="0" hidden="1" customWidth="1"/>
    <col min="16" max="16" width="18.7109375" customWidth="1"/>
    <col min="17" max="17" width="19.5703125" customWidth="1"/>
    <col min="18" max="18" width="37.28515625" customWidth="1"/>
    <col min="19" max="19" width="24.7109375" customWidth="1"/>
    <col min="20" max="20" width="16.85546875" customWidth="1"/>
    <col min="21" max="21" width="15" customWidth="1"/>
  </cols>
  <sheetData>
    <row r="1" spans="2:23" ht="15.75">
      <c r="B1" s="347"/>
      <c r="C1" s="347"/>
      <c r="D1" s="347"/>
      <c r="E1" s="347"/>
      <c r="F1" s="347"/>
      <c r="G1" s="347"/>
      <c r="H1" s="347"/>
      <c r="I1" s="373"/>
      <c r="J1" s="373"/>
      <c r="K1" s="373"/>
      <c r="L1" s="714" t="s">
        <v>123</v>
      </c>
      <c r="M1" s="714"/>
      <c r="N1" s="373"/>
      <c r="O1" s="373"/>
      <c r="P1" s="373"/>
      <c r="Q1" s="373"/>
      <c r="R1" s="373"/>
      <c r="S1" s="373"/>
      <c r="T1" s="373"/>
      <c r="U1" s="373"/>
      <c r="V1" s="373"/>
      <c r="W1" s="373"/>
    </row>
    <row r="2" spans="2:23" ht="36.75" customHeight="1">
      <c r="B2" s="715" t="s">
        <v>124</v>
      </c>
      <c r="C2" s="716"/>
      <c r="D2" s="716"/>
      <c r="E2" s="348"/>
      <c r="F2" s="349"/>
      <c r="G2" s="349"/>
      <c r="H2" s="349"/>
      <c r="I2" s="715" t="s">
        <v>125</v>
      </c>
      <c r="J2" s="716"/>
      <c r="K2" s="717"/>
      <c r="L2" s="715" t="s">
        <v>126</v>
      </c>
      <c r="M2" s="717"/>
      <c r="N2" s="373"/>
      <c r="O2" s="373"/>
      <c r="P2" s="373"/>
      <c r="Q2" s="373"/>
      <c r="R2" s="373"/>
      <c r="S2" s="373"/>
      <c r="T2" s="373"/>
      <c r="U2" s="373"/>
      <c r="V2" s="373"/>
      <c r="W2" s="373"/>
    </row>
    <row r="3" spans="2:23" ht="49.5" customHeight="1">
      <c r="B3" s="350" t="s">
        <v>127</v>
      </c>
      <c r="C3" s="350" t="s">
        <v>128</v>
      </c>
      <c r="D3" s="350" t="s">
        <v>129</v>
      </c>
      <c r="E3" s="350" t="s">
        <v>130</v>
      </c>
      <c r="F3" s="350" t="s">
        <v>131</v>
      </c>
      <c r="G3" s="350" t="s">
        <v>132</v>
      </c>
      <c r="H3" s="350" t="s">
        <v>133</v>
      </c>
      <c r="I3" s="350" t="s">
        <v>134</v>
      </c>
      <c r="J3" s="350" t="s">
        <v>135</v>
      </c>
      <c r="K3" s="350" t="s">
        <v>136</v>
      </c>
      <c r="L3" s="350" t="s">
        <v>137</v>
      </c>
      <c r="M3" s="350" t="s">
        <v>138</v>
      </c>
      <c r="N3" s="373"/>
      <c r="O3" s="373"/>
      <c r="P3" s="373"/>
      <c r="Q3" s="373"/>
      <c r="R3" s="373"/>
      <c r="S3" s="373"/>
      <c r="T3" s="373"/>
      <c r="U3" s="373"/>
      <c r="V3" s="373"/>
      <c r="W3" s="373"/>
    </row>
    <row r="4" spans="2:23" ht="45">
      <c r="B4" s="351">
        <v>1</v>
      </c>
      <c r="C4" s="374" t="s">
        <v>139</v>
      </c>
      <c r="D4" s="351" t="s">
        <v>140</v>
      </c>
      <c r="E4" s="352">
        <v>20</v>
      </c>
      <c r="F4" s="353">
        <v>4</v>
      </c>
      <c r="G4" s="353">
        <f>E4*F4</f>
        <v>80</v>
      </c>
      <c r="H4" s="352">
        <v>11</v>
      </c>
      <c r="I4" s="354">
        <f>G4*H4</f>
        <v>880</v>
      </c>
      <c r="J4" s="355">
        <v>12</v>
      </c>
      <c r="K4" s="356">
        <f>I4*J4</f>
        <v>10560</v>
      </c>
      <c r="L4" s="357"/>
      <c r="M4" s="357">
        <f t="shared" ref="M4:M10" si="0">L4*E4</f>
        <v>0</v>
      </c>
      <c r="N4" s="375" t="str">
        <f>IF(L4&gt;I4,"Errado","Ok")</f>
        <v>Ok</v>
      </c>
      <c r="O4" s="373"/>
      <c r="P4" s="373"/>
      <c r="Q4" s="376"/>
      <c r="R4" s="373"/>
      <c r="S4" s="373"/>
      <c r="T4" s="373"/>
      <c r="U4" s="373"/>
      <c r="V4" s="373"/>
      <c r="W4" s="373"/>
    </row>
    <row r="5" spans="2:23" ht="60">
      <c r="B5" s="351">
        <f>B4+1</f>
        <v>2</v>
      </c>
      <c r="C5" s="374" t="s">
        <v>141</v>
      </c>
      <c r="D5" s="351" t="s">
        <v>142</v>
      </c>
      <c r="E5" s="358">
        <v>15</v>
      </c>
      <c r="F5" s="359">
        <v>3.87</v>
      </c>
      <c r="G5" s="353">
        <f t="shared" ref="G5:G12" si="1">E5*F5</f>
        <v>58.050000000000004</v>
      </c>
      <c r="H5" s="352">
        <v>11</v>
      </c>
      <c r="I5" s="354">
        <f t="shared" ref="I5:I12" si="2">G5*H5</f>
        <v>638.55000000000007</v>
      </c>
      <c r="J5" s="355">
        <v>12</v>
      </c>
      <c r="K5" s="356">
        <f t="shared" ref="K5:K12" si="3">I5*J5</f>
        <v>7662.6</v>
      </c>
      <c r="L5" s="357"/>
      <c r="M5" s="357">
        <f t="shared" si="0"/>
        <v>0</v>
      </c>
      <c r="N5" s="375" t="str">
        <f t="shared" ref="N5:N12" si="4">IF(L5&gt;I5,"Errado","Ok")</f>
        <v>Ok</v>
      </c>
      <c r="O5" s="373"/>
      <c r="P5" s="373"/>
      <c r="Q5" s="376"/>
      <c r="R5" s="373"/>
      <c r="S5" s="373"/>
      <c r="T5" s="373"/>
      <c r="U5" s="373"/>
      <c r="V5" s="373"/>
      <c r="W5" s="373"/>
    </row>
    <row r="6" spans="2:23" ht="60">
      <c r="B6" s="351">
        <f t="shared" ref="B6:B10" si="5">B5+1</f>
        <v>3</v>
      </c>
      <c r="C6" s="374" t="s">
        <v>143</v>
      </c>
      <c r="D6" s="351" t="s">
        <v>140</v>
      </c>
      <c r="E6" s="358">
        <v>8</v>
      </c>
      <c r="F6" s="359">
        <v>4.8499999999999996</v>
      </c>
      <c r="G6" s="353">
        <f>E6*F6</f>
        <v>38.799999999999997</v>
      </c>
      <c r="H6" s="352">
        <v>11</v>
      </c>
      <c r="I6" s="354">
        <f t="shared" si="2"/>
        <v>426.79999999999995</v>
      </c>
      <c r="J6" s="355">
        <v>12</v>
      </c>
      <c r="K6" s="356">
        <f t="shared" si="3"/>
        <v>5121.5999999999995</v>
      </c>
      <c r="L6" s="357"/>
      <c r="M6" s="357">
        <f t="shared" si="0"/>
        <v>0</v>
      </c>
      <c r="N6" s="375" t="str">
        <f t="shared" si="4"/>
        <v>Ok</v>
      </c>
      <c r="O6" s="373"/>
      <c r="P6" s="373"/>
      <c r="Q6" s="376"/>
      <c r="R6" s="373"/>
      <c r="S6" s="373"/>
      <c r="T6" s="373"/>
      <c r="U6" s="373"/>
      <c r="V6" s="373"/>
      <c r="W6" s="373"/>
    </row>
    <row r="7" spans="2:23" ht="30">
      <c r="B7" s="351">
        <f t="shared" si="5"/>
        <v>4</v>
      </c>
      <c r="C7" s="374" t="s">
        <v>144</v>
      </c>
      <c r="D7" s="351" t="s">
        <v>140</v>
      </c>
      <c r="E7" s="358">
        <v>2</v>
      </c>
      <c r="F7" s="359">
        <v>15.4</v>
      </c>
      <c r="G7" s="353">
        <f t="shared" si="1"/>
        <v>30.8</v>
      </c>
      <c r="H7" s="352">
        <v>11</v>
      </c>
      <c r="I7" s="354">
        <f t="shared" si="2"/>
        <v>338.8</v>
      </c>
      <c r="J7" s="355">
        <v>12</v>
      </c>
      <c r="K7" s="356">
        <f t="shared" si="3"/>
        <v>4065.6000000000004</v>
      </c>
      <c r="L7" s="357"/>
      <c r="M7" s="357">
        <f t="shared" si="0"/>
        <v>0</v>
      </c>
      <c r="N7" s="375" t="str">
        <f t="shared" si="4"/>
        <v>Ok</v>
      </c>
      <c r="O7" s="373"/>
      <c r="P7" s="373"/>
      <c r="Q7" s="376"/>
      <c r="R7" s="373"/>
      <c r="S7" s="373"/>
      <c r="T7" s="373"/>
      <c r="U7" s="373"/>
      <c r="V7" s="373"/>
      <c r="W7" s="373"/>
    </row>
    <row r="8" spans="2:23" ht="45">
      <c r="B8" s="351">
        <f t="shared" si="5"/>
        <v>5</v>
      </c>
      <c r="C8" s="374" t="s">
        <v>145</v>
      </c>
      <c r="D8" s="351" t="s">
        <v>146</v>
      </c>
      <c r="E8" s="358">
        <v>2</v>
      </c>
      <c r="F8" s="359">
        <v>4.08</v>
      </c>
      <c r="G8" s="353">
        <f t="shared" si="1"/>
        <v>8.16</v>
      </c>
      <c r="H8" s="352">
        <v>11</v>
      </c>
      <c r="I8" s="354">
        <f t="shared" si="2"/>
        <v>89.76</v>
      </c>
      <c r="J8" s="355">
        <v>12</v>
      </c>
      <c r="K8" s="356">
        <f t="shared" si="3"/>
        <v>1077.1200000000001</v>
      </c>
      <c r="L8" s="357"/>
      <c r="M8" s="357">
        <f t="shared" si="0"/>
        <v>0</v>
      </c>
      <c r="N8" s="375" t="str">
        <f t="shared" si="4"/>
        <v>Ok</v>
      </c>
      <c r="O8" s="373"/>
      <c r="P8" s="373"/>
      <c r="Q8" s="376"/>
      <c r="R8" s="373"/>
      <c r="S8" s="373"/>
      <c r="T8" s="373"/>
      <c r="U8" s="373"/>
      <c r="V8" s="373"/>
      <c r="W8" s="373"/>
    </row>
    <row r="9" spans="2:23" ht="75">
      <c r="B9" s="351">
        <f t="shared" si="5"/>
        <v>6</v>
      </c>
      <c r="C9" s="374" t="s">
        <v>147</v>
      </c>
      <c r="D9" s="351" t="s">
        <v>148</v>
      </c>
      <c r="E9" s="358">
        <v>3</v>
      </c>
      <c r="F9" s="359">
        <v>2.94</v>
      </c>
      <c r="G9" s="353">
        <f t="shared" si="1"/>
        <v>8.82</v>
      </c>
      <c r="H9" s="352">
        <v>11</v>
      </c>
      <c r="I9" s="354">
        <f t="shared" si="2"/>
        <v>97.02000000000001</v>
      </c>
      <c r="J9" s="355">
        <v>12</v>
      </c>
      <c r="K9" s="356">
        <f t="shared" si="3"/>
        <v>1164.2400000000002</v>
      </c>
      <c r="L9" s="357"/>
      <c r="M9" s="357">
        <f t="shared" si="0"/>
        <v>0</v>
      </c>
      <c r="N9" s="375" t="str">
        <f t="shared" si="4"/>
        <v>Ok</v>
      </c>
      <c r="O9" s="373"/>
      <c r="P9" s="373"/>
      <c r="Q9" s="376"/>
      <c r="R9" s="373"/>
      <c r="S9" s="373"/>
      <c r="T9" s="373"/>
      <c r="U9" s="373"/>
      <c r="V9" s="373"/>
      <c r="W9" s="373"/>
    </row>
    <row r="10" spans="2:23" ht="30">
      <c r="B10" s="351">
        <f t="shared" si="5"/>
        <v>7</v>
      </c>
      <c r="C10" s="374" t="s">
        <v>149</v>
      </c>
      <c r="D10" s="351" t="s">
        <v>148</v>
      </c>
      <c r="E10" s="358">
        <v>4</v>
      </c>
      <c r="F10" s="359">
        <v>10.5</v>
      </c>
      <c r="G10" s="353">
        <f t="shared" si="1"/>
        <v>42</v>
      </c>
      <c r="H10" s="352">
        <v>11</v>
      </c>
      <c r="I10" s="354">
        <f t="shared" si="2"/>
        <v>462</v>
      </c>
      <c r="J10" s="355">
        <v>12</v>
      </c>
      <c r="K10" s="356">
        <f t="shared" si="3"/>
        <v>5544</v>
      </c>
      <c r="L10" s="357"/>
      <c r="M10" s="357">
        <f t="shared" si="0"/>
        <v>0</v>
      </c>
      <c r="N10" s="375" t="str">
        <f t="shared" si="4"/>
        <v>Ok</v>
      </c>
      <c r="O10" s="373"/>
      <c r="P10" s="373"/>
      <c r="Q10" s="376"/>
      <c r="R10" s="373"/>
      <c r="S10" s="373"/>
      <c r="T10" s="373"/>
      <c r="U10" s="373"/>
      <c r="V10" s="373"/>
      <c r="W10" s="373"/>
    </row>
    <row r="11" spans="2:23" ht="42" customHeight="1">
      <c r="B11" s="351"/>
      <c r="C11" s="374" t="s">
        <v>150</v>
      </c>
      <c r="D11" s="351" t="s">
        <v>142</v>
      </c>
      <c r="E11" s="358">
        <v>8</v>
      </c>
      <c r="F11" s="359">
        <v>6.74</v>
      </c>
      <c r="G11" s="353">
        <f t="shared" si="1"/>
        <v>53.92</v>
      </c>
      <c r="H11" s="352">
        <v>11</v>
      </c>
      <c r="I11" s="354">
        <f t="shared" si="2"/>
        <v>593.12</v>
      </c>
      <c r="J11" s="355">
        <v>12</v>
      </c>
      <c r="K11" s="356">
        <f t="shared" si="3"/>
        <v>7117.4400000000005</v>
      </c>
      <c r="L11" s="357"/>
      <c r="M11" s="357"/>
      <c r="N11" s="375"/>
      <c r="O11" s="373"/>
      <c r="P11" s="373"/>
      <c r="Q11" s="376"/>
      <c r="R11" s="373"/>
      <c r="S11" s="373"/>
      <c r="T11" s="373"/>
      <c r="U11" s="373"/>
      <c r="V11" s="373"/>
      <c r="W11" s="373"/>
    </row>
    <row r="12" spans="2:23" ht="66" customHeight="1">
      <c r="B12" s="351">
        <f>B10+1</f>
        <v>8</v>
      </c>
      <c r="C12" s="374" t="s">
        <v>151</v>
      </c>
      <c r="D12" s="351" t="s">
        <v>152</v>
      </c>
      <c r="E12" s="358">
        <v>2</v>
      </c>
      <c r="F12" s="359">
        <v>16.399999999999999</v>
      </c>
      <c r="G12" s="360">
        <f t="shared" si="1"/>
        <v>32.799999999999997</v>
      </c>
      <c r="H12" s="361">
        <v>11</v>
      </c>
      <c r="I12" s="362">
        <f t="shared" si="2"/>
        <v>360.79999999999995</v>
      </c>
      <c r="J12" s="363">
        <v>12</v>
      </c>
      <c r="K12" s="364">
        <f t="shared" si="3"/>
        <v>4329.5999999999995</v>
      </c>
      <c r="L12" s="357"/>
      <c r="M12" s="357">
        <f>L12*E12</f>
        <v>0</v>
      </c>
      <c r="N12" s="375" t="str">
        <f t="shared" si="4"/>
        <v>Ok</v>
      </c>
      <c r="O12" s="373"/>
      <c r="P12" s="373"/>
      <c r="Q12" s="376"/>
      <c r="R12" s="373"/>
      <c r="S12" s="373"/>
      <c r="T12" s="373"/>
      <c r="U12" s="373"/>
      <c r="V12" s="373"/>
      <c r="W12" s="373"/>
    </row>
    <row r="13" spans="2:23" ht="19.5" customHeight="1">
      <c r="B13" s="712" t="s">
        <v>153</v>
      </c>
      <c r="C13" s="713"/>
      <c r="D13" s="713"/>
      <c r="E13" s="713"/>
      <c r="F13" s="365"/>
      <c r="G13" s="366">
        <f>SUM(G4:G12)</f>
        <v>353.35</v>
      </c>
      <c r="H13" s="367">
        <v>11</v>
      </c>
      <c r="I13" s="368">
        <f>SUM(I4:I12)</f>
        <v>3886.8500000000004</v>
      </c>
      <c r="J13" s="369">
        <v>12</v>
      </c>
      <c r="K13" s="370">
        <f>SUM(K4:K12)</f>
        <v>46642.2</v>
      </c>
      <c r="L13" s="371"/>
      <c r="M13" s="372">
        <f>SUM(M4:M12)</f>
        <v>0</v>
      </c>
      <c r="N13" s="373"/>
      <c r="O13" s="373"/>
      <c r="P13" s="373"/>
      <c r="Q13" s="373"/>
      <c r="R13" s="373"/>
      <c r="S13" s="373"/>
      <c r="T13" s="373"/>
      <c r="U13" s="373"/>
      <c r="V13" s="373"/>
      <c r="W13" s="373"/>
    </row>
    <row r="14" spans="2:23" ht="12.75">
      <c r="B14" s="373"/>
      <c r="C14" s="373"/>
      <c r="D14" s="373"/>
      <c r="E14" s="373"/>
      <c r="F14" s="373"/>
      <c r="G14" s="373"/>
      <c r="H14" s="373"/>
      <c r="I14" s="373"/>
      <c r="J14" s="373"/>
      <c r="K14" s="373"/>
      <c r="L14" s="373"/>
      <c r="M14" s="373"/>
      <c r="N14" s="373"/>
      <c r="O14" s="373"/>
      <c r="P14" s="373"/>
      <c r="Q14" s="376"/>
      <c r="R14" s="373"/>
      <c r="S14" s="373"/>
      <c r="T14" s="373"/>
      <c r="U14" s="373"/>
      <c r="V14" s="373"/>
      <c r="W14" s="373"/>
    </row>
    <row r="15" spans="2:23" ht="12.75">
      <c r="B15" s="373"/>
      <c r="C15" s="373"/>
      <c r="D15" s="373"/>
      <c r="E15" s="373"/>
      <c r="F15" s="373"/>
      <c r="G15" s="373"/>
      <c r="H15" s="373"/>
      <c r="I15" s="373"/>
      <c r="J15" s="373"/>
      <c r="K15" s="373"/>
      <c r="L15" s="373"/>
      <c r="M15" s="373"/>
      <c r="N15" s="373"/>
      <c r="O15" s="373"/>
      <c r="P15" s="373"/>
      <c r="Q15" s="373"/>
      <c r="R15" s="373"/>
      <c r="S15" s="373"/>
      <c r="T15" s="373"/>
      <c r="U15" s="373"/>
      <c r="V15" s="373"/>
      <c r="W15" s="373"/>
    </row>
    <row r="16" spans="2:23" ht="25.5" customHeight="1">
      <c r="B16" s="373"/>
      <c r="C16" s="373"/>
      <c r="D16" s="373"/>
      <c r="E16" s="373"/>
      <c r="F16" s="373"/>
      <c r="G16" s="373"/>
      <c r="H16" s="373"/>
      <c r="I16" s="373"/>
      <c r="J16" s="373"/>
      <c r="K16" s="373"/>
      <c r="L16" s="373"/>
      <c r="M16" s="373"/>
      <c r="N16" s="373"/>
      <c r="O16" s="373"/>
      <c r="P16" s="373"/>
      <c r="Q16" s="373"/>
      <c r="R16" s="373"/>
      <c r="S16" s="373"/>
      <c r="T16" s="373"/>
      <c r="U16" s="373"/>
      <c r="V16" s="373"/>
      <c r="W16" s="373"/>
    </row>
    <row r="17" spans="2:23" ht="130.5" customHeight="1">
      <c r="B17" s="373"/>
      <c r="C17" s="377" t="s">
        <v>154</v>
      </c>
      <c r="D17" s="378"/>
      <c r="E17" s="378"/>
      <c r="F17" s="378"/>
      <c r="G17" s="379"/>
      <c r="H17" s="379"/>
      <c r="I17" s="373"/>
      <c r="J17" s="373"/>
      <c r="K17" s="373"/>
      <c r="L17" s="373"/>
      <c r="M17" s="373"/>
      <c r="N17" s="373"/>
      <c r="O17" s="373"/>
      <c r="P17" s="373"/>
      <c r="Q17" s="373"/>
      <c r="R17" s="373"/>
      <c r="S17" s="373"/>
      <c r="T17" s="373"/>
      <c r="U17" s="373"/>
      <c r="V17" s="373"/>
      <c r="W17" s="373"/>
    </row>
    <row r="18" spans="2:23" ht="135" customHeight="1">
      <c r="B18" s="373"/>
      <c r="C18" s="380">
        <v>1</v>
      </c>
      <c r="D18" s="711" t="s">
        <v>155</v>
      </c>
      <c r="E18" s="711"/>
      <c r="F18" s="711"/>
      <c r="G18" s="711"/>
      <c r="H18" s="711"/>
      <c r="I18" s="711"/>
      <c r="J18" s="711"/>
      <c r="K18" s="711"/>
      <c r="L18" s="373"/>
      <c r="M18" s="373"/>
      <c r="N18" s="373"/>
      <c r="O18" s="373"/>
      <c r="P18" s="373"/>
      <c r="Q18" s="373"/>
      <c r="R18" s="373"/>
      <c r="S18" s="373"/>
      <c r="T18" s="373"/>
      <c r="U18" s="373"/>
      <c r="V18" s="373"/>
      <c r="W18" s="373"/>
    </row>
    <row r="19" spans="2:23" ht="118.5" customHeight="1">
      <c r="B19" s="373"/>
      <c r="C19" s="380">
        <f>C18+1</f>
        <v>2</v>
      </c>
      <c r="D19" s="711" t="s">
        <v>156</v>
      </c>
      <c r="E19" s="711"/>
      <c r="F19" s="711"/>
      <c r="G19" s="711"/>
      <c r="H19" s="711"/>
      <c r="I19" s="711"/>
      <c r="J19" s="711"/>
      <c r="K19" s="711"/>
      <c r="L19" s="373"/>
      <c r="M19" s="373"/>
      <c r="N19" s="373"/>
      <c r="O19" s="373"/>
      <c r="P19" s="373"/>
      <c r="Q19" s="373"/>
      <c r="R19" s="373"/>
      <c r="S19" s="373"/>
      <c r="T19" s="373"/>
      <c r="U19" s="373"/>
      <c r="V19" s="373"/>
      <c r="W19" s="373"/>
    </row>
    <row r="20" spans="2:23" ht="106.5" customHeight="1">
      <c r="B20" s="373"/>
      <c r="C20" s="380">
        <f>C19+1</f>
        <v>3</v>
      </c>
      <c r="D20" s="711" t="s">
        <v>157</v>
      </c>
      <c r="E20" s="711"/>
      <c r="F20" s="711"/>
      <c r="G20" s="711"/>
      <c r="H20" s="711"/>
      <c r="I20" s="711"/>
      <c r="J20" s="711"/>
      <c r="K20" s="711"/>
      <c r="L20" s="373"/>
      <c r="M20" s="373"/>
      <c r="N20" s="373"/>
      <c r="O20" s="373"/>
      <c r="P20" s="373"/>
      <c r="Q20" s="373"/>
      <c r="R20" s="373"/>
      <c r="S20" s="373"/>
      <c r="T20" s="373"/>
      <c r="U20" s="373"/>
      <c r="V20" s="373"/>
      <c r="W20" s="373"/>
    </row>
    <row r="24" spans="2:23" ht="57" customHeight="1"/>
    <row r="32" spans="2:23" ht="15.75">
      <c r="B32" s="266"/>
      <c r="C32" s="267"/>
      <c r="D32" s="266"/>
      <c r="E32" s="267"/>
      <c r="F32" s="267"/>
      <c r="G32" s="267"/>
      <c r="H32" s="267"/>
    </row>
    <row r="33" spans="2:8" ht="15.75">
      <c r="B33" s="266"/>
      <c r="C33" s="267"/>
      <c r="D33" s="266"/>
      <c r="E33" s="267"/>
      <c r="F33" s="267"/>
      <c r="G33" s="267"/>
      <c r="H33" s="267"/>
    </row>
    <row r="34" spans="2:8" ht="15.75">
      <c r="B34" s="266"/>
      <c r="C34" s="267"/>
      <c r="D34" s="266"/>
      <c r="E34" s="267"/>
      <c r="F34" s="267"/>
      <c r="G34" s="267"/>
      <c r="H34" s="267"/>
    </row>
    <row r="35" spans="2:8" ht="15.75">
      <c r="B35" s="266"/>
      <c r="C35" s="267"/>
      <c r="D35" s="266"/>
      <c r="E35" s="267"/>
      <c r="F35" s="267"/>
      <c r="G35" s="267"/>
      <c r="H35" s="267"/>
    </row>
    <row r="36" spans="2:8" ht="15.75">
      <c r="B36" s="266"/>
      <c r="C36" s="267"/>
      <c r="D36" s="266"/>
      <c r="E36" s="267"/>
      <c r="F36" s="267"/>
      <c r="G36" s="267"/>
      <c r="H36" s="267"/>
    </row>
    <row r="37" spans="2:8" ht="15.75">
      <c r="B37" s="266"/>
      <c r="C37" s="267"/>
      <c r="D37" s="266"/>
      <c r="E37" s="267"/>
      <c r="F37" s="267"/>
      <c r="G37" s="267"/>
      <c r="H37" s="267"/>
    </row>
    <row r="38" spans="2:8" ht="15.75">
      <c r="B38" s="266"/>
      <c r="C38" s="267"/>
      <c r="D38" s="266"/>
      <c r="E38" s="267"/>
      <c r="F38" s="267"/>
      <c r="G38" s="267"/>
      <c r="H38" s="267"/>
    </row>
    <row r="39" spans="2:8" ht="15.75">
      <c r="B39" s="266"/>
      <c r="C39" s="267"/>
      <c r="D39" s="266"/>
      <c r="E39" s="267"/>
      <c r="F39" s="267"/>
      <c r="G39" s="267"/>
      <c r="H39" s="267"/>
    </row>
    <row r="40" spans="2:8" ht="15.75">
      <c r="B40" s="266"/>
      <c r="C40" s="267"/>
      <c r="D40" s="266"/>
      <c r="E40" s="267"/>
      <c r="F40" s="267"/>
      <c r="G40" s="267"/>
      <c r="H40" s="267"/>
    </row>
    <row r="41" spans="2:8" ht="15.75">
      <c r="B41" s="266"/>
      <c r="C41" s="267"/>
      <c r="D41" s="266"/>
      <c r="E41" s="267"/>
      <c r="F41" s="267"/>
      <c r="G41" s="267"/>
      <c r="H41" s="267"/>
    </row>
    <row r="42" spans="2:8" ht="15.75">
      <c r="B42" s="266"/>
      <c r="C42" s="267"/>
      <c r="D42" s="266"/>
      <c r="E42" s="267"/>
      <c r="F42" s="267"/>
      <c r="G42" s="267"/>
      <c r="H42" s="267"/>
    </row>
    <row r="43" spans="2:8" ht="15.75">
      <c r="B43" s="266"/>
      <c r="C43" s="267"/>
      <c r="D43" s="266"/>
      <c r="E43" s="267"/>
      <c r="F43" s="267"/>
      <c r="G43" s="267"/>
      <c r="H43" s="267"/>
    </row>
    <row r="44" spans="2:8" ht="15.75">
      <c r="B44" s="266"/>
      <c r="C44" s="267"/>
      <c r="D44" s="266"/>
      <c r="E44" s="267"/>
      <c r="F44" s="267"/>
      <c r="G44" s="267"/>
      <c r="H44" s="267"/>
    </row>
    <row r="45" spans="2:8" ht="15.75">
      <c r="B45" s="266"/>
      <c r="C45" s="267"/>
      <c r="D45" s="266"/>
      <c r="E45" s="267"/>
      <c r="F45" s="267"/>
      <c r="G45" s="267"/>
      <c r="H45" s="267"/>
    </row>
    <row r="46" spans="2:8" ht="15.75">
      <c r="B46" s="266"/>
      <c r="C46" s="267"/>
      <c r="D46" s="266"/>
      <c r="E46" s="267"/>
      <c r="F46" s="267"/>
      <c r="G46" s="267"/>
      <c r="H46" s="267"/>
    </row>
    <row r="47" spans="2:8" ht="15.75">
      <c r="B47" s="266"/>
      <c r="C47" s="267"/>
      <c r="D47" s="266"/>
      <c r="E47" s="267"/>
      <c r="F47" s="267"/>
      <c r="G47" s="267"/>
      <c r="H47" s="267"/>
    </row>
    <row r="48" spans="2:8" ht="15.75">
      <c r="B48" s="266"/>
      <c r="C48" s="267"/>
      <c r="D48" s="266"/>
      <c r="E48" s="267"/>
      <c r="F48" s="267"/>
      <c r="G48" s="267"/>
      <c r="H48" s="267"/>
    </row>
    <row r="49" spans="2:8" ht="15.75">
      <c r="B49" s="266"/>
      <c r="C49" s="267"/>
      <c r="D49" s="266"/>
      <c r="E49" s="267"/>
      <c r="F49" s="267"/>
      <c r="G49" s="267"/>
      <c r="H49" s="267"/>
    </row>
    <row r="50" spans="2:8" ht="15.75">
      <c r="B50" s="266"/>
      <c r="C50" s="267"/>
      <c r="D50" s="266"/>
      <c r="E50" s="267"/>
      <c r="F50" s="267"/>
      <c r="G50" s="267"/>
      <c r="H50" s="267"/>
    </row>
    <row r="51" spans="2:8" ht="15.75">
      <c r="B51" s="266"/>
      <c r="C51" s="267"/>
      <c r="D51" s="266"/>
      <c r="E51" s="267"/>
      <c r="F51" s="267"/>
      <c r="G51" s="267"/>
      <c r="H51" s="267"/>
    </row>
    <row r="52" spans="2:8" ht="15.75">
      <c r="B52" s="266"/>
      <c r="C52" s="267"/>
      <c r="D52" s="266"/>
      <c r="E52" s="267"/>
      <c r="F52" s="267"/>
      <c r="G52" s="267"/>
      <c r="H52" s="267"/>
    </row>
    <row r="53" spans="2:8" ht="15.75">
      <c r="B53" s="266"/>
      <c r="C53" s="267"/>
      <c r="D53" s="266"/>
      <c r="E53" s="267"/>
      <c r="F53" s="267"/>
      <c r="G53" s="267"/>
      <c r="H53" s="267"/>
    </row>
    <row r="54" spans="2:8" ht="15.75">
      <c r="B54" s="266"/>
      <c r="C54" s="267"/>
      <c r="D54" s="266"/>
      <c r="E54" s="267"/>
      <c r="F54" s="267"/>
      <c r="G54" s="267"/>
      <c r="H54" s="267"/>
    </row>
    <row r="55" spans="2:8" ht="15.75">
      <c r="B55" s="266"/>
      <c r="C55" s="267"/>
      <c r="D55" s="266"/>
      <c r="E55" s="267"/>
      <c r="F55" s="267"/>
      <c r="G55" s="267"/>
      <c r="H55" s="267"/>
    </row>
    <row r="56" spans="2:8" ht="15.75">
      <c r="B56" s="266"/>
      <c r="C56" s="267"/>
      <c r="D56" s="266"/>
      <c r="E56" s="267"/>
      <c r="F56" s="267"/>
      <c r="G56" s="267"/>
      <c r="H56" s="267"/>
    </row>
    <row r="57" spans="2:8" ht="15.75">
      <c r="B57" s="266"/>
      <c r="C57" s="267"/>
      <c r="D57" s="266"/>
      <c r="E57" s="267"/>
      <c r="F57" s="267"/>
      <c r="G57" s="267"/>
      <c r="H57" s="267"/>
    </row>
    <row r="58" spans="2:8" ht="15.75">
      <c r="B58" s="266"/>
      <c r="C58" s="267"/>
      <c r="D58" s="266"/>
      <c r="E58" s="267"/>
      <c r="F58" s="267"/>
      <c r="G58" s="267"/>
      <c r="H58" s="267"/>
    </row>
    <row r="59" spans="2:8" ht="15.75">
      <c r="B59" s="266"/>
      <c r="C59" s="267"/>
      <c r="D59" s="266"/>
      <c r="E59" s="267"/>
      <c r="F59" s="267"/>
      <c r="G59" s="267"/>
      <c r="H59" s="267"/>
    </row>
    <row r="60" spans="2:8" ht="15.75">
      <c r="B60" s="266"/>
      <c r="C60" s="267"/>
      <c r="D60" s="266"/>
      <c r="E60" s="267"/>
      <c r="F60" s="267"/>
      <c r="G60" s="267"/>
      <c r="H60" s="267"/>
    </row>
    <row r="61" spans="2:8" ht="15.75">
      <c r="B61" s="266"/>
      <c r="C61" s="267"/>
      <c r="D61" s="266"/>
      <c r="E61" s="267"/>
      <c r="F61" s="267"/>
      <c r="G61" s="267"/>
      <c r="H61" s="267"/>
    </row>
    <row r="62" spans="2:8" ht="15.75">
      <c r="B62" s="266"/>
      <c r="C62" s="267"/>
      <c r="D62" s="266"/>
      <c r="E62" s="267"/>
      <c r="F62" s="267"/>
      <c r="G62" s="267"/>
      <c r="H62" s="267"/>
    </row>
    <row r="63" spans="2:8" ht="15.75">
      <c r="B63" s="266"/>
      <c r="C63" s="267"/>
      <c r="D63" s="266"/>
      <c r="E63" s="267"/>
      <c r="F63" s="267"/>
      <c r="G63" s="267"/>
      <c r="H63" s="267"/>
    </row>
    <row r="64" spans="2:8" ht="15.75">
      <c r="B64" s="266"/>
      <c r="C64" s="267"/>
      <c r="D64" s="266"/>
      <c r="E64" s="267"/>
      <c r="F64" s="267"/>
      <c r="G64" s="267"/>
      <c r="H64" s="267"/>
    </row>
    <row r="65" spans="2:8" ht="15.75">
      <c r="B65" s="266"/>
      <c r="C65" s="267"/>
      <c r="D65" s="266"/>
      <c r="E65" s="267"/>
      <c r="F65" s="267"/>
      <c r="G65" s="267"/>
      <c r="H65" s="267"/>
    </row>
    <row r="66" spans="2:8" ht="15.75">
      <c r="B66" s="266"/>
      <c r="C66" s="267"/>
      <c r="D66" s="266"/>
      <c r="E66" s="267"/>
      <c r="F66" s="267"/>
      <c r="G66" s="267"/>
      <c r="H66" s="267"/>
    </row>
    <row r="67" spans="2:8" ht="15.75">
      <c r="B67" s="266"/>
      <c r="C67" s="267"/>
      <c r="D67" s="266"/>
      <c r="E67" s="267"/>
      <c r="F67" s="267"/>
      <c r="G67" s="267"/>
      <c r="H67" s="267"/>
    </row>
    <row r="68" spans="2:8" ht="15.75">
      <c r="B68" s="266"/>
      <c r="C68" s="267"/>
      <c r="D68" s="266"/>
      <c r="E68" s="267"/>
      <c r="F68" s="267"/>
      <c r="G68" s="267"/>
      <c r="H68" s="267"/>
    </row>
    <row r="69" spans="2:8" ht="15.75">
      <c r="B69" s="266"/>
      <c r="C69" s="267"/>
      <c r="D69" s="266"/>
      <c r="E69" s="267"/>
      <c r="F69" s="267"/>
      <c r="G69" s="267"/>
      <c r="H69" s="267"/>
    </row>
    <row r="70" spans="2:8" ht="12.75"/>
    <row r="71" spans="2:8" ht="12.75"/>
    <row r="72" spans="2:8" ht="12.75"/>
    <row r="73" spans="2:8" ht="12.75"/>
    <row r="74" spans="2:8" ht="12.75"/>
    <row r="75" spans="2:8" ht="12.75"/>
    <row r="76" spans="2:8" ht="12.75"/>
    <row r="77" spans="2:8" ht="12.75"/>
    <row r="78" spans="2:8" ht="12.75"/>
    <row r="79" spans="2:8" ht="12.75"/>
    <row r="80" spans="2:8"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sheetData>
  <mergeCells count="8">
    <mergeCell ref="D18:K18"/>
    <mergeCell ref="D19:K19"/>
    <mergeCell ref="D20:K20"/>
    <mergeCell ref="B13:E13"/>
    <mergeCell ref="L1:M1"/>
    <mergeCell ref="B2:D2"/>
    <mergeCell ref="I2:K2"/>
    <mergeCell ref="L2:M2"/>
  </mergeCells>
  <pageMargins left="0.25" right="0.25" top="0.75" bottom="0.75" header="0.3" footer="0.3"/>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R43"/>
  <sheetViews>
    <sheetView showGridLines="0" topLeftCell="A31" zoomScale="85" zoomScaleNormal="85" workbookViewId="0">
      <selection activeCell="R5" sqref="R5"/>
    </sheetView>
  </sheetViews>
  <sheetFormatPr defaultColWidth="9.140625" defaultRowHeight="18"/>
  <cols>
    <col min="1" max="1" width="9.140625" style="123"/>
    <col min="2" max="2" width="9.140625" style="123" customWidth="1"/>
    <col min="3" max="3" width="23.5703125" style="123" customWidth="1"/>
    <col min="4" max="4" width="34.28515625" style="125" customWidth="1"/>
    <col min="5" max="5" width="69.7109375" style="126" customWidth="1"/>
    <col min="6" max="6" width="19.7109375" style="126" customWidth="1"/>
    <col min="7" max="7" width="14.42578125" style="126" customWidth="1"/>
    <col min="8" max="8" width="14.5703125" style="126" customWidth="1"/>
    <col min="9" max="9" width="12.140625" style="126" customWidth="1"/>
    <col min="10" max="17" width="16.140625" style="126" hidden="1" customWidth="1"/>
    <col min="18" max="18" width="14.85546875" style="126" bestFit="1" customWidth="1"/>
    <col min="19" max="19" width="14.85546875" style="123" bestFit="1" customWidth="1"/>
    <col min="20" max="16384" width="9.140625" style="123"/>
  </cols>
  <sheetData>
    <row r="1" spans="1:18" ht="15">
      <c r="A1" s="344"/>
      <c r="B1" s="344"/>
      <c r="C1" s="344"/>
      <c r="D1" s="344"/>
      <c r="E1" s="344"/>
      <c r="F1" s="344"/>
      <c r="G1" s="344"/>
      <c r="H1" s="344"/>
      <c r="I1" s="344"/>
      <c r="J1" s="123"/>
      <c r="K1" s="123"/>
      <c r="L1" s="123"/>
      <c r="M1" s="123"/>
      <c r="N1" s="123"/>
      <c r="O1" s="123"/>
      <c r="P1" s="123"/>
      <c r="Q1" s="123"/>
      <c r="R1" s="123"/>
    </row>
    <row r="2" spans="1:18" ht="15.75">
      <c r="A2" s="344"/>
      <c r="B2" s="718" t="s">
        <v>158</v>
      </c>
      <c r="C2" s="719"/>
      <c r="D2" s="719"/>
      <c r="E2" s="719"/>
      <c r="F2" s="719"/>
      <c r="G2" s="719"/>
      <c r="H2" s="719"/>
      <c r="I2" s="719"/>
      <c r="J2" s="123"/>
      <c r="K2" s="123"/>
      <c r="L2" s="123"/>
      <c r="M2" s="123"/>
      <c r="N2" s="123"/>
      <c r="O2" s="123"/>
      <c r="P2" s="123"/>
      <c r="Q2" s="123"/>
      <c r="R2" s="123"/>
    </row>
    <row r="3" spans="1:18" ht="38.25" customHeight="1">
      <c r="A3" s="344"/>
      <c r="B3" s="727" t="s">
        <v>159</v>
      </c>
      <c r="C3" s="720" t="s">
        <v>160</v>
      </c>
      <c r="D3" s="720" t="s">
        <v>161</v>
      </c>
      <c r="E3" s="727" t="s">
        <v>162</v>
      </c>
      <c r="F3" s="727" t="s">
        <v>163</v>
      </c>
      <c r="G3" s="720" t="s">
        <v>164</v>
      </c>
      <c r="H3" s="720" t="s">
        <v>165</v>
      </c>
      <c r="I3" s="720" t="s">
        <v>166</v>
      </c>
      <c r="J3" s="123"/>
      <c r="K3" s="123"/>
      <c r="L3" s="123"/>
      <c r="M3" s="123"/>
      <c r="N3" s="123"/>
      <c r="O3" s="123"/>
      <c r="P3" s="123"/>
      <c r="Q3" s="123"/>
      <c r="R3" s="123"/>
    </row>
    <row r="4" spans="1:18" ht="32.25" customHeight="1">
      <c r="A4" s="344"/>
      <c r="B4" s="728"/>
      <c r="C4" s="721"/>
      <c r="D4" s="721"/>
      <c r="E4" s="728"/>
      <c r="F4" s="729"/>
      <c r="G4" s="722"/>
      <c r="H4" s="722"/>
      <c r="I4" s="722"/>
      <c r="J4" s="123"/>
      <c r="K4" s="123"/>
      <c r="L4" s="123"/>
      <c r="M4" s="123"/>
      <c r="N4" s="123"/>
      <c r="O4" s="123"/>
      <c r="P4" s="123"/>
      <c r="Q4" s="123"/>
      <c r="R4" s="123"/>
    </row>
    <row r="5" spans="1:18" ht="63.75" customHeight="1">
      <c r="A5" s="344"/>
      <c r="B5" s="381">
        <v>1</v>
      </c>
      <c r="C5" s="381">
        <v>2</v>
      </c>
      <c r="D5" s="381">
        <v>2</v>
      </c>
      <c r="E5" s="382" t="s">
        <v>167</v>
      </c>
      <c r="F5" s="383">
        <f>D5+C5</f>
        <v>4</v>
      </c>
      <c r="G5" s="384">
        <v>71.400000000000006</v>
      </c>
      <c r="H5" s="384">
        <f>G5*F5</f>
        <v>285.60000000000002</v>
      </c>
      <c r="I5" s="384">
        <f>H5/12</f>
        <v>23.8</v>
      </c>
      <c r="J5" s="123"/>
      <c r="K5" s="123"/>
      <c r="L5" s="123"/>
      <c r="M5" s="123"/>
      <c r="N5" s="123"/>
      <c r="O5" s="123"/>
      <c r="P5" s="123"/>
      <c r="Q5" s="123"/>
      <c r="R5" s="123"/>
    </row>
    <row r="6" spans="1:18" ht="70.5" customHeight="1">
      <c r="A6" s="344"/>
      <c r="B6" s="381">
        <v>2</v>
      </c>
      <c r="C6" s="381">
        <v>2</v>
      </c>
      <c r="D6" s="381">
        <v>2</v>
      </c>
      <c r="E6" s="382" t="s">
        <v>168</v>
      </c>
      <c r="F6" s="383">
        <f t="shared" ref="F6:F13" si="0">D6+C6</f>
        <v>4</v>
      </c>
      <c r="G6" s="384">
        <v>105.34</v>
      </c>
      <c r="H6" s="384">
        <f t="shared" ref="H6:H13" si="1">G6*F6</f>
        <v>421.36</v>
      </c>
      <c r="I6" s="384">
        <f t="shared" ref="I6:I13" si="2">H6/12</f>
        <v>35.113333333333337</v>
      </c>
      <c r="J6" s="123"/>
      <c r="K6" s="123"/>
      <c r="L6" s="123"/>
      <c r="M6" s="123"/>
      <c r="N6" s="123"/>
      <c r="O6" s="123"/>
      <c r="P6" s="123"/>
      <c r="Q6" s="123"/>
      <c r="R6" s="123"/>
    </row>
    <row r="7" spans="1:18" ht="57.75" customHeight="1">
      <c r="A7" s="344"/>
      <c r="B7" s="381">
        <v>3</v>
      </c>
      <c r="C7" s="381">
        <v>2</v>
      </c>
      <c r="D7" s="381">
        <v>2</v>
      </c>
      <c r="E7" s="382" t="s">
        <v>169</v>
      </c>
      <c r="F7" s="383">
        <f t="shared" si="0"/>
        <v>4</v>
      </c>
      <c r="G7" s="384">
        <v>67.66</v>
      </c>
      <c r="H7" s="384">
        <f t="shared" si="1"/>
        <v>270.64</v>
      </c>
      <c r="I7" s="384">
        <f t="shared" si="2"/>
        <v>22.553333333333331</v>
      </c>
      <c r="J7" s="123"/>
      <c r="K7" s="123"/>
      <c r="L7" s="123"/>
      <c r="M7" s="123"/>
      <c r="N7" s="123"/>
      <c r="O7" s="123"/>
      <c r="P7" s="123"/>
      <c r="Q7" s="123"/>
      <c r="R7" s="123"/>
    </row>
    <row r="8" spans="1:18" ht="66" customHeight="1">
      <c r="A8" s="344"/>
      <c r="B8" s="381">
        <v>4</v>
      </c>
      <c r="C8" s="381">
        <v>1</v>
      </c>
      <c r="D8" s="381">
        <v>1</v>
      </c>
      <c r="E8" s="382" t="s">
        <v>170</v>
      </c>
      <c r="F8" s="383">
        <f t="shared" si="0"/>
        <v>2</v>
      </c>
      <c r="G8" s="384">
        <v>64.66</v>
      </c>
      <c r="H8" s="384">
        <f t="shared" si="1"/>
        <v>129.32</v>
      </c>
      <c r="I8" s="384">
        <f t="shared" si="2"/>
        <v>10.776666666666666</v>
      </c>
      <c r="J8" s="123"/>
      <c r="K8" s="123"/>
      <c r="L8" s="123"/>
      <c r="M8" s="123"/>
      <c r="N8" s="123"/>
      <c r="O8" s="123"/>
      <c r="P8" s="123"/>
      <c r="Q8" s="123"/>
      <c r="R8" s="123"/>
    </row>
    <row r="9" spans="1:18" ht="57.75" customHeight="1">
      <c r="A9" s="344"/>
      <c r="B9" s="381">
        <v>5</v>
      </c>
      <c r="C9" s="381">
        <v>1</v>
      </c>
      <c r="D9" s="381">
        <v>1</v>
      </c>
      <c r="E9" s="382" t="s">
        <v>170</v>
      </c>
      <c r="F9" s="383">
        <f t="shared" si="0"/>
        <v>2</v>
      </c>
      <c r="G9" s="384">
        <v>5.45</v>
      </c>
      <c r="H9" s="384">
        <f t="shared" si="1"/>
        <v>10.9</v>
      </c>
      <c r="I9" s="384">
        <f>H9/12</f>
        <v>0.90833333333333333</v>
      </c>
      <c r="J9" s="123"/>
      <c r="K9" s="123"/>
      <c r="L9" s="123"/>
      <c r="M9" s="123"/>
      <c r="N9" s="123"/>
      <c r="O9" s="123"/>
      <c r="P9" s="123"/>
      <c r="Q9" s="123"/>
      <c r="R9" s="123"/>
    </row>
    <row r="10" spans="1:18" ht="57.75" customHeight="1">
      <c r="A10" s="344"/>
      <c r="B10" s="381">
        <v>6</v>
      </c>
      <c r="C10" s="381">
        <v>1</v>
      </c>
      <c r="D10" s="381">
        <v>1</v>
      </c>
      <c r="E10" s="382" t="s">
        <v>171</v>
      </c>
      <c r="F10" s="383">
        <f t="shared" si="0"/>
        <v>2</v>
      </c>
      <c r="G10" s="384">
        <v>14.6</v>
      </c>
      <c r="H10" s="384">
        <f t="shared" si="1"/>
        <v>29.2</v>
      </c>
      <c r="I10" s="384">
        <f t="shared" si="2"/>
        <v>2.4333333333333331</v>
      </c>
      <c r="J10" s="123"/>
      <c r="K10" s="123"/>
      <c r="L10" s="123"/>
      <c r="M10" s="123"/>
      <c r="N10" s="123"/>
      <c r="O10" s="123"/>
      <c r="P10" s="123"/>
      <c r="Q10" s="123"/>
      <c r="R10" s="123"/>
    </row>
    <row r="11" spans="1:18" ht="48.75" customHeight="1">
      <c r="A11" s="344"/>
      <c r="B11" s="381">
        <v>7</v>
      </c>
      <c r="C11" s="381">
        <v>1</v>
      </c>
      <c r="D11" s="381">
        <v>1</v>
      </c>
      <c r="E11" s="382" t="s">
        <v>172</v>
      </c>
      <c r="F11" s="383">
        <f t="shared" si="0"/>
        <v>2</v>
      </c>
      <c r="G11" s="384">
        <v>35</v>
      </c>
      <c r="H11" s="384">
        <f t="shared" si="1"/>
        <v>70</v>
      </c>
      <c r="I11" s="384">
        <f t="shared" si="2"/>
        <v>5.833333333333333</v>
      </c>
      <c r="J11" s="123"/>
      <c r="K11" s="123"/>
      <c r="L11" s="123"/>
      <c r="M11" s="123"/>
      <c r="N11" s="123"/>
      <c r="O11" s="123"/>
      <c r="P11" s="123"/>
      <c r="Q11" s="123"/>
      <c r="R11" s="123"/>
    </row>
    <row r="12" spans="1:18" ht="42.75" customHeight="1">
      <c r="A12" s="344"/>
      <c r="B12" s="381">
        <v>8</v>
      </c>
      <c r="C12" s="381">
        <v>2</v>
      </c>
      <c r="D12" s="381">
        <v>2</v>
      </c>
      <c r="E12" s="382" t="s">
        <v>173</v>
      </c>
      <c r="F12" s="383">
        <f t="shared" si="0"/>
        <v>4</v>
      </c>
      <c r="G12" s="384">
        <v>13.45</v>
      </c>
      <c r="H12" s="384">
        <f t="shared" si="1"/>
        <v>53.8</v>
      </c>
      <c r="I12" s="384">
        <f t="shared" si="2"/>
        <v>4.4833333333333334</v>
      </c>
      <c r="J12" s="123"/>
      <c r="K12" s="123"/>
      <c r="L12" s="123"/>
      <c r="M12" s="123"/>
      <c r="N12" s="123"/>
      <c r="O12" s="123"/>
      <c r="P12" s="123"/>
      <c r="Q12" s="123"/>
      <c r="R12" s="123"/>
    </row>
    <row r="13" spans="1:18" ht="35.25" customHeight="1">
      <c r="A13" s="344"/>
      <c r="B13" s="385">
        <v>9</v>
      </c>
      <c r="C13" s="385">
        <v>1</v>
      </c>
      <c r="D13" s="385">
        <v>1</v>
      </c>
      <c r="E13" s="386" t="s">
        <v>174</v>
      </c>
      <c r="F13" s="387">
        <f t="shared" si="0"/>
        <v>2</v>
      </c>
      <c r="G13" s="388">
        <v>24</v>
      </c>
      <c r="H13" s="384">
        <f t="shared" si="1"/>
        <v>48</v>
      </c>
      <c r="I13" s="384">
        <f t="shared" si="2"/>
        <v>4</v>
      </c>
      <c r="J13" s="123"/>
      <c r="K13" s="123"/>
      <c r="L13" s="123"/>
      <c r="M13" s="123"/>
      <c r="N13" s="123"/>
      <c r="O13" s="123"/>
      <c r="P13" s="123"/>
      <c r="Q13" s="123"/>
      <c r="R13" s="123"/>
    </row>
    <row r="14" spans="1:18" ht="35.25" customHeight="1">
      <c r="A14" s="344"/>
      <c r="B14" s="724" t="s">
        <v>175</v>
      </c>
      <c r="C14" s="725"/>
      <c r="D14" s="725"/>
      <c r="E14" s="725"/>
      <c r="F14" s="725"/>
      <c r="G14" s="726"/>
      <c r="H14" s="384">
        <f>SUM(H5:H13)</f>
        <v>1318.8200000000002</v>
      </c>
      <c r="I14" s="384">
        <f>SUM(I5:I13)</f>
        <v>109.90166666666667</v>
      </c>
      <c r="J14" s="123"/>
      <c r="K14" s="123"/>
      <c r="L14" s="123"/>
      <c r="M14" s="123"/>
      <c r="N14" s="123"/>
      <c r="O14" s="123"/>
      <c r="P14" s="123"/>
      <c r="Q14" s="123"/>
      <c r="R14" s="123"/>
    </row>
    <row r="15" spans="1:18" ht="17.25" customHeight="1">
      <c r="A15" s="344"/>
      <c r="B15" s="344"/>
      <c r="C15" s="344"/>
      <c r="D15" s="344"/>
      <c r="E15" s="344"/>
      <c r="F15" s="344"/>
      <c r="G15" s="344"/>
      <c r="H15" s="344"/>
      <c r="I15" s="344"/>
      <c r="J15" s="123"/>
      <c r="K15" s="123"/>
      <c r="L15" s="123"/>
      <c r="M15" s="123"/>
      <c r="N15" s="123"/>
      <c r="O15" s="123"/>
      <c r="P15" s="123"/>
      <c r="Q15" s="123"/>
      <c r="R15" s="123"/>
    </row>
    <row r="16" spans="1:18" ht="26.25" customHeight="1">
      <c r="A16" s="344"/>
      <c r="B16" s="344"/>
      <c r="C16" s="344"/>
      <c r="D16" s="344"/>
      <c r="E16" s="344"/>
      <c r="F16" s="344"/>
      <c r="G16" s="344"/>
      <c r="H16" s="344"/>
      <c r="I16" s="344"/>
      <c r="J16" s="123"/>
      <c r="K16" s="123"/>
      <c r="L16" s="123"/>
      <c r="M16" s="123"/>
      <c r="N16" s="123"/>
      <c r="O16" s="123"/>
      <c r="P16" s="123"/>
      <c r="Q16" s="123"/>
      <c r="R16" s="123"/>
    </row>
    <row r="17" spans="1:18" ht="25.5" customHeight="1">
      <c r="A17" s="344"/>
      <c r="B17" s="723" t="s">
        <v>176</v>
      </c>
      <c r="C17" s="723"/>
      <c r="D17" s="723"/>
      <c r="E17" s="723"/>
      <c r="F17" s="723"/>
      <c r="G17" s="723"/>
      <c r="H17" s="723"/>
      <c r="I17" s="723"/>
      <c r="J17" s="123"/>
      <c r="K17" s="123"/>
      <c r="L17" s="123"/>
      <c r="M17" s="123"/>
      <c r="N17" s="123"/>
      <c r="O17" s="123"/>
      <c r="P17" s="123"/>
      <c r="Q17" s="123"/>
      <c r="R17" s="123"/>
    </row>
    <row r="18" spans="1:18" ht="35.25" customHeight="1">
      <c r="A18" s="344"/>
      <c r="B18" s="720" t="s">
        <v>159</v>
      </c>
      <c r="C18" s="720" t="s">
        <v>160</v>
      </c>
      <c r="D18" s="720" t="s">
        <v>161</v>
      </c>
      <c r="E18" s="720" t="s">
        <v>162</v>
      </c>
      <c r="F18" s="727" t="s">
        <v>163</v>
      </c>
      <c r="G18" s="720" t="s">
        <v>164</v>
      </c>
      <c r="H18" s="720" t="s">
        <v>175</v>
      </c>
      <c r="I18" s="720" t="s">
        <v>166</v>
      </c>
      <c r="J18" s="123"/>
      <c r="K18" s="123"/>
      <c r="L18" s="123"/>
      <c r="M18" s="123"/>
      <c r="N18" s="123"/>
      <c r="O18" s="123"/>
      <c r="P18" s="123"/>
      <c r="Q18" s="123"/>
      <c r="R18" s="123"/>
    </row>
    <row r="19" spans="1:18" ht="45" customHeight="1">
      <c r="A19" s="344"/>
      <c r="B19" s="721"/>
      <c r="C19" s="721"/>
      <c r="D19" s="721"/>
      <c r="E19" s="721"/>
      <c r="F19" s="729"/>
      <c r="G19" s="722"/>
      <c r="H19" s="722"/>
      <c r="I19" s="722"/>
      <c r="J19" s="123"/>
      <c r="K19" s="123"/>
      <c r="L19" s="123"/>
      <c r="M19" s="123"/>
      <c r="N19" s="123"/>
      <c r="O19" s="123"/>
      <c r="P19" s="123"/>
      <c r="Q19" s="123"/>
      <c r="R19" s="123"/>
    </row>
    <row r="20" spans="1:18" ht="57.75" customHeight="1">
      <c r="A20" s="344"/>
      <c r="B20" s="381">
        <v>1</v>
      </c>
      <c r="C20" s="381">
        <v>2</v>
      </c>
      <c r="D20" s="381">
        <v>2</v>
      </c>
      <c r="E20" s="296" t="s">
        <v>177</v>
      </c>
      <c r="F20" s="383">
        <f>D20+C20</f>
        <v>4</v>
      </c>
      <c r="G20" s="389">
        <v>71.400000000000006</v>
      </c>
      <c r="H20" s="389">
        <f>G20*F20</f>
        <v>285.60000000000002</v>
      </c>
      <c r="I20" s="389">
        <f>H20/12</f>
        <v>23.8</v>
      </c>
      <c r="J20" s="123"/>
      <c r="K20" s="123"/>
      <c r="L20" s="123"/>
      <c r="M20" s="123"/>
      <c r="N20" s="123"/>
      <c r="O20" s="123"/>
      <c r="P20" s="123"/>
      <c r="Q20" s="123"/>
      <c r="R20" s="123"/>
    </row>
    <row r="21" spans="1:18" ht="51" customHeight="1">
      <c r="A21" s="344"/>
      <c r="B21" s="381">
        <v>2</v>
      </c>
      <c r="C21" s="381">
        <v>2</v>
      </c>
      <c r="D21" s="381">
        <v>2</v>
      </c>
      <c r="E21" s="296" t="s">
        <v>178</v>
      </c>
      <c r="F21" s="383">
        <f t="shared" ref="F21:F26" si="3">D21+C21</f>
        <v>4</v>
      </c>
      <c r="G21" s="389">
        <v>44.98</v>
      </c>
      <c r="H21" s="389">
        <f t="shared" ref="H21:H26" si="4">G21*F21</f>
        <v>179.92</v>
      </c>
      <c r="I21" s="389">
        <f t="shared" ref="I21:I26" si="5">H21/12</f>
        <v>14.993333333333332</v>
      </c>
      <c r="J21" s="123"/>
      <c r="K21" s="123"/>
      <c r="L21" s="123"/>
      <c r="M21" s="123"/>
      <c r="N21" s="123"/>
      <c r="O21" s="123"/>
      <c r="P21" s="123"/>
      <c r="Q21" s="123"/>
      <c r="R21" s="123"/>
    </row>
    <row r="22" spans="1:18" ht="50.25" customHeight="1">
      <c r="A22" s="344"/>
      <c r="B22" s="381">
        <v>3</v>
      </c>
      <c r="C22" s="381">
        <v>1</v>
      </c>
      <c r="D22" s="381">
        <v>1</v>
      </c>
      <c r="E22" s="296" t="s">
        <v>179</v>
      </c>
      <c r="F22" s="383">
        <f t="shared" si="3"/>
        <v>2</v>
      </c>
      <c r="G22" s="389">
        <v>64.66</v>
      </c>
      <c r="H22" s="389">
        <f t="shared" si="4"/>
        <v>129.32</v>
      </c>
      <c r="I22" s="389">
        <f t="shared" si="5"/>
        <v>10.776666666666666</v>
      </c>
      <c r="J22" s="123"/>
      <c r="K22" s="123"/>
      <c r="L22" s="123"/>
      <c r="M22" s="123"/>
      <c r="N22" s="123"/>
      <c r="O22" s="123"/>
      <c r="P22" s="123"/>
      <c r="Q22" s="123"/>
      <c r="R22" s="123"/>
    </row>
    <row r="23" spans="1:18" ht="51.75" customHeight="1">
      <c r="A23" s="344"/>
      <c r="B23" s="381">
        <v>4</v>
      </c>
      <c r="C23" s="381">
        <v>1</v>
      </c>
      <c r="D23" s="381">
        <v>1</v>
      </c>
      <c r="E23" s="296" t="s">
        <v>180</v>
      </c>
      <c r="F23" s="383">
        <f t="shared" si="3"/>
        <v>2</v>
      </c>
      <c r="G23" s="389">
        <v>13.45</v>
      </c>
      <c r="H23" s="389">
        <f t="shared" si="4"/>
        <v>26.9</v>
      </c>
      <c r="I23" s="389">
        <f t="shared" si="5"/>
        <v>2.2416666666666667</v>
      </c>
      <c r="J23" s="123"/>
      <c r="K23" s="123"/>
      <c r="L23" s="123"/>
      <c r="M23" s="123"/>
      <c r="N23" s="123"/>
      <c r="O23" s="123"/>
      <c r="P23" s="123"/>
      <c r="Q23" s="123"/>
      <c r="R23" s="123"/>
    </row>
    <row r="24" spans="1:18" ht="35.25" customHeight="1">
      <c r="A24" s="344"/>
      <c r="B24" s="381">
        <v>5</v>
      </c>
      <c r="C24" s="381">
        <v>1</v>
      </c>
      <c r="D24" s="381">
        <v>1</v>
      </c>
      <c r="E24" s="296" t="s">
        <v>181</v>
      </c>
      <c r="F24" s="383">
        <f t="shared" si="3"/>
        <v>2</v>
      </c>
      <c r="G24" s="389">
        <v>11.95</v>
      </c>
      <c r="H24" s="389">
        <f t="shared" si="4"/>
        <v>23.9</v>
      </c>
      <c r="I24" s="389">
        <f t="shared" si="5"/>
        <v>1.9916666666666665</v>
      </c>
      <c r="J24" s="123"/>
      <c r="K24" s="123"/>
      <c r="L24" s="123"/>
      <c r="M24" s="123"/>
      <c r="N24" s="123"/>
      <c r="O24" s="123"/>
      <c r="P24" s="123"/>
      <c r="Q24" s="123"/>
      <c r="R24" s="123"/>
    </row>
    <row r="25" spans="1:18" ht="28.5" customHeight="1">
      <c r="A25" s="344"/>
      <c r="B25" s="381">
        <v>6</v>
      </c>
      <c r="C25" s="381">
        <v>1</v>
      </c>
      <c r="D25" s="381">
        <v>1</v>
      </c>
      <c r="E25" s="296" t="s">
        <v>182</v>
      </c>
      <c r="F25" s="383">
        <f t="shared" si="3"/>
        <v>2</v>
      </c>
      <c r="G25" s="389">
        <v>64</v>
      </c>
      <c r="H25" s="389">
        <f t="shared" si="4"/>
        <v>128</v>
      </c>
      <c r="I25" s="389">
        <f t="shared" si="5"/>
        <v>10.666666666666666</v>
      </c>
      <c r="J25" s="123"/>
      <c r="K25" s="123"/>
      <c r="L25" s="123"/>
      <c r="M25" s="123"/>
      <c r="N25" s="123"/>
      <c r="O25" s="123"/>
      <c r="P25" s="123"/>
      <c r="Q25" s="123"/>
      <c r="R25" s="123"/>
    </row>
    <row r="26" spans="1:18" ht="36" customHeight="1">
      <c r="A26" s="344"/>
      <c r="B26" s="385">
        <v>7</v>
      </c>
      <c r="C26" s="385">
        <v>1</v>
      </c>
      <c r="D26" s="385">
        <v>1</v>
      </c>
      <c r="E26" s="390" t="s">
        <v>183</v>
      </c>
      <c r="F26" s="387">
        <f t="shared" si="3"/>
        <v>2</v>
      </c>
      <c r="G26" s="391">
        <v>5.45</v>
      </c>
      <c r="H26" s="389">
        <f t="shared" si="4"/>
        <v>10.9</v>
      </c>
      <c r="I26" s="389">
        <f t="shared" si="5"/>
        <v>0.90833333333333333</v>
      </c>
      <c r="J26" s="123"/>
      <c r="K26" s="123"/>
      <c r="L26" s="123"/>
      <c r="M26" s="123"/>
      <c r="N26" s="123"/>
      <c r="O26" s="123"/>
      <c r="P26" s="123"/>
      <c r="Q26" s="123"/>
      <c r="R26" s="123"/>
    </row>
    <row r="27" spans="1:18" ht="26.25" customHeight="1">
      <c r="A27" s="344"/>
      <c r="B27" s="724" t="s">
        <v>175</v>
      </c>
      <c r="C27" s="725"/>
      <c r="D27" s="725"/>
      <c r="E27" s="725"/>
      <c r="F27" s="725"/>
      <c r="G27" s="726"/>
      <c r="H27" s="392">
        <f>SUM(H20:H26)</f>
        <v>784.53999999999985</v>
      </c>
      <c r="I27" s="392">
        <f>SUM(I20:I26)</f>
        <v>65.37833333333333</v>
      </c>
      <c r="J27" s="123"/>
      <c r="K27" s="123"/>
      <c r="L27" s="123"/>
      <c r="M27" s="123"/>
      <c r="N27" s="123"/>
      <c r="O27" s="123"/>
      <c r="P27" s="123"/>
      <c r="Q27" s="123"/>
      <c r="R27" s="123"/>
    </row>
    <row r="28" spans="1:18" ht="24" customHeight="1">
      <c r="A28" s="344"/>
      <c r="B28" s="344"/>
      <c r="C28" s="344"/>
      <c r="D28" s="344"/>
      <c r="E28" s="344"/>
      <c r="F28" s="344"/>
      <c r="G28" s="344"/>
      <c r="H28" s="344"/>
      <c r="I28" s="344"/>
      <c r="J28" s="123"/>
      <c r="K28" s="123"/>
      <c r="L28" s="123"/>
      <c r="M28" s="123"/>
      <c r="N28" s="123"/>
      <c r="O28" s="123"/>
      <c r="P28" s="123"/>
      <c r="Q28" s="123"/>
      <c r="R28" s="123"/>
    </row>
    <row r="29" spans="1:18" ht="21.75" customHeight="1">
      <c r="A29" s="344"/>
      <c r="B29" s="344"/>
      <c r="C29" s="344"/>
      <c r="D29" s="344"/>
      <c r="E29" s="344"/>
      <c r="F29" s="344"/>
      <c r="G29" s="344"/>
      <c r="H29" s="344"/>
      <c r="I29" s="344"/>
      <c r="J29" s="123"/>
      <c r="K29" s="123"/>
      <c r="L29" s="123"/>
      <c r="M29" s="123"/>
      <c r="N29" s="123"/>
      <c r="O29" s="123"/>
      <c r="P29" s="123"/>
      <c r="Q29" s="123"/>
      <c r="R29" s="123"/>
    </row>
    <row r="30" spans="1:18" ht="27" customHeight="1">
      <c r="A30" s="344"/>
      <c r="B30" s="344"/>
      <c r="C30" s="344"/>
      <c r="D30" s="344"/>
      <c r="E30" s="344"/>
      <c r="F30" s="344"/>
      <c r="G30" s="344"/>
      <c r="H30" s="344"/>
      <c r="I30" s="344"/>
      <c r="J30" s="123"/>
      <c r="K30" s="123"/>
      <c r="L30" s="123"/>
      <c r="M30" s="123"/>
      <c r="N30" s="123"/>
      <c r="O30" s="123"/>
      <c r="P30" s="123"/>
      <c r="Q30" s="123"/>
      <c r="R30" s="123"/>
    </row>
    <row r="31" spans="1:18" ht="21" customHeight="1">
      <c r="A31" s="344"/>
      <c r="B31" s="344"/>
      <c r="C31" s="344"/>
      <c r="D31" s="344"/>
      <c r="E31" s="344"/>
      <c r="F31" s="344"/>
      <c r="G31" s="344"/>
      <c r="H31" s="344"/>
      <c r="I31" s="344"/>
      <c r="J31" s="123"/>
      <c r="K31" s="123"/>
      <c r="L31" s="123"/>
      <c r="M31" s="123"/>
      <c r="N31" s="123"/>
      <c r="O31" s="123"/>
      <c r="P31" s="123"/>
      <c r="Q31" s="123"/>
      <c r="R31" s="123"/>
    </row>
    <row r="32" spans="1:18" ht="15">
      <c r="A32" s="344"/>
      <c r="B32" s="344"/>
      <c r="C32" s="344"/>
      <c r="D32" s="344"/>
      <c r="E32" s="344"/>
      <c r="F32" s="344"/>
      <c r="G32" s="344"/>
      <c r="H32" s="344"/>
      <c r="I32" s="344"/>
      <c r="J32" s="123"/>
      <c r="K32" s="123"/>
      <c r="L32" s="123"/>
      <c r="M32" s="123"/>
      <c r="N32" s="123"/>
      <c r="O32" s="123"/>
      <c r="P32" s="123"/>
      <c r="Q32" s="123"/>
      <c r="R32" s="123"/>
    </row>
    <row r="33" spans="1:18" ht="29.25" customHeight="1">
      <c r="A33" s="344"/>
      <c r="B33" s="344"/>
      <c r="C33" s="344"/>
      <c r="D33" s="393" t="s">
        <v>184</v>
      </c>
      <c r="E33" s="394"/>
      <c r="F33" s="395"/>
      <c r="G33" s="395"/>
      <c r="H33" s="395"/>
      <c r="I33" s="395"/>
      <c r="J33" s="127"/>
      <c r="K33" s="127"/>
      <c r="L33" s="127"/>
      <c r="M33" s="127"/>
      <c r="N33" s="127"/>
      <c r="O33" s="127"/>
      <c r="P33" s="127"/>
      <c r="Q33" s="127"/>
      <c r="R33" s="127"/>
    </row>
    <row r="34" spans="1:18" ht="42" customHeight="1">
      <c r="A34" s="344"/>
      <c r="B34" s="344"/>
      <c r="C34" s="344"/>
      <c r="D34" s="396">
        <v>1</v>
      </c>
      <c r="E34" s="730" t="s">
        <v>185</v>
      </c>
      <c r="F34" s="731"/>
      <c r="G34" s="731"/>
      <c r="H34" s="731"/>
      <c r="I34" s="732"/>
      <c r="J34" s="197"/>
      <c r="K34" s="197"/>
      <c r="L34" s="197"/>
      <c r="M34" s="197"/>
      <c r="N34" s="197"/>
      <c r="O34" s="197"/>
      <c r="P34" s="197"/>
      <c r="Q34" s="197"/>
      <c r="R34" s="197"/>
    </row>
    <row r="35" spans="1:18" ht="42" customHeight="1">
      <c r="A35" s="344"/>
      <c r="B35" s="344"/>
      <c r="C35" s="344"/>
      <c r="D35" s="396">
        <f t="shared" ref="D35:D39" si="6">D34+1</f>
        <v>2</v>
      </c>
      <c r="E35" s="730" t="s">
        <v>186</v>
      </c>
      <c r="F35" s="731"/>
      <c r="G35" s="731"/>
      <c r="H35" s="731"/>
      <c r="I35" s="732"/>
      <c r="J35" s="197"/>
      <c r="K35" s="197"/>
      <c r="L35" s="197"/>
      <c r="M35" s="197"/>
      <c r="N35" s="197"/>
      <c r="O35" s="197"/>
      <c r="P35" s="197"/>
      <c r="Q35" s="197"/>
      <c r="R35" s="197"/>
    </row>
    <row r="36" spans="1:18" ht="42" customHeight="1">
      <c r="A36" s="344"/>
      <c r="B36" s="344"/>
      <c r="C36" s="344"/>
      <c r="D36" s="396">
        <f t="shared" si="6"/>
        <v>3</v>
      </c>
      <c r="E36" s="730" t="s">
        <v>187</v>
      </c>
      <c r="F36" s="731"/>
      <c r="G36" s="731"/>
      <c r="H36" s="731"/>
      <c r="I36" s="732"/>
      <c r="J36" s="197"/>
      <c r="K36" s="197"/>
      <c r="L36" s="197"/>
      <c r="M36" s="197"/>
      <c r="N36" s="197"/>
      <c r="O36" s="197"/>
      <c r="P36" s="197"/>
      <c r="Q36" s="197"/>
      <c r="R36" s="197"/>
    </row>
    <row r="37" spans="1:18" ht="42" customHeight="1">
      <c r="A37" s="344"/>
      <c r="B37" s="344"/>
      <c r="C37" s="344"/>
      <c r="D37" s="396">
        <f t="shared" si="6"/>
        <v>4</v>
      </c>
      <c r="E37" s="730" t="s">
        <v>188</v>
      </c>
      <c r="F37" s="731"/>
      <c r="G37" s="731"/>
      <c r="H37" s="731"/>
      <c r="I37" s="732"/>
      <c r="J37" s="197"/>
      <c r="K37" s="197"/>
      <c r="L37" s="197"/>
      <c r="M37" s="197"/>
      <c r="N37" s="197"/>
      <c r="O37" s="197"/>
      <c r="P37" s="197"/>
      <c r="Q37" s="197"/>
      <c r="R37" s="197"/>
    </row>
    <row r="38" spans="1:18" ht="42" customHeight="1">
      <c r="A38" s="344"/>
      <c r="B38" s="344"/>
      <c r="C38" s="344"/>
      <c r="D38" s="396">
        <f t="shared" si="6"/>
        <v>5</v>
      </c>
      <c r="E38" s="730" t="s">
        <v>189</v>
      </c>
      <c r="F38" s="731"/>
      <c r="G38" s="731"/>
      <c r="H38" s="731"/>
      <c r="I38" s="732"/>
      <c r="J38" s="197"/>
      <c r="K38" s="197"/>
      <c r="L38" s="197"/>
      <c r="M38" s="197"/>
      <c r="N38" s="197"/>
      <c r="O38" s="197"/>
      <c r="P38" s="197"/>
      <c r="Q38" s="197"/>
      <c r="R38" s="197"/>
    </row>
    <row r="39" spans="1:18" ht="65.25" customHeight="1">
      <c r="A39" s="344"/>
      <c r="B39" s="344"/>
      <c r="C39" s="344"/>
      <c r="D39" s="396">
        <f t="shared" si="6"/>
        <v>6</v>
      </c>
      <c r="E39" s="730" t="s">
        <v>190</v>
      </c>
      <c r="F39" s="731"/>
      <c r="G39" s="731"/>
      <c r="H39" s="731"/>
      <c r="I39" s="732"/>
      <c r="J39" s="197"/>
      <c r="K39" s="197"/>
      <c r="L39" s="197"/>
      <c r="M39" s="197"/>
      <c r="N39" s="197"/>
      <c r="O39" s="197"/>
      <c r="P39" s="197"/>
      <c r="Q39" s="197"/>
      <c r="R39" s="197"/>
    </row>
    <row r="40" spans="1:18" ht="59.25" customHeight="1">
      <c r="A40" s="344"/>
      <c r="B40" s="344"/>
      <c r="C40" s="344"/>
      <c r="D40" s="396">
        <v>7</v>
      </c>
      <c r="E40" s="730" t="s">
        <v>191</v>
      </c>
      <c r="F40" s="731"/>
      <c r="G40" s="731"/>
      <c r="H40" s="731"/>
      <c r="I40" s="732"/>
    </row>
    <row r="41" spans="1:18">
      <c r="A41" s="344"/>
      <c r="B41" s="344"/>
      <c r="C41" s="344"/>
      <c r="D41" s="345"/>
      <c r="E41" s="344"/>
      <c r="F41" s="344"/>
      <c r="G41" s="344"/>
      <c r="H41" s="344"/>
      <c r="I41" s="344"/>
    </row>
    <row r="42" spans="1:18">
      <c r="A42" s="344"/>
      <c r="B42" s="344"/>
      <c r="C42" s="344"/>
      <c r="D42" s="345"/>
      <c r="E42" s="344"/>
      <c r="F42" s="344"/>
      <c r="G42" s="344"/>
      <c r="H42" s="344"/>
      <c r="I42" s="344"/>
    </row>
    <row r="43" spans="1:18">
      <c r="A43" s="344"/>
      <c r="B43" s="344"/>
      <c r="C43" s="344"/>
      <c r="D43" s="345"/>
      <c r="E43" s="344"/>
      <c r="F43" s="344"/>
      <c r="G43" s="344"/>
      <c r="H43" s="344"/>
      <c r="I43" s="344"/>
    </row>
  </sheetData>
  <mergeCells count="27">
    <mergeCell ref="E40:I40"/>
    <mergeCell ref="E18:E19"/>
    <mergeCell ref="F18:F19"/>
    <mergeCell ref="I18:I19"/>
    <mergeCell ref="E38:I38"/>
    <mergeCell ref="E39:I39"/>
    <mergeCell ref="E34:I34"/>
    <mergeCell ref="E35:I35"/>
    <mergeCell ref="E36:I36"/>
    <mergeCell ref="E37:I37"/>
    <mergeCell ref="B27:G27"/>
    <mergeCell ref="B2:I2"/>
    <mergeCell ref="D18:D19"/>
    <mergeCell ref="C18:C19"/>
    <mergeCell ref="G18:G19"/>
    <mergeCell ref="H18:H19"/>
    <mergeCell ref="B17:I17"/>
    <mergeCell ref="B18:B19"/>
    <mergeCell ref="H3:H4"/>
    <mergeCell ref="I3:I4"/>
    <mergeCell ref="B14:G14"/>
    <mergeCell ref="D3:D4"/>
    <mergeCell ref="C3:C4"/>
    <mergeCell ref="E3:E4"/>
    <mergeCell ref="B3:B4"/>
    <mergeCell ref="F3:F4"/>
    <mergeCell ref="G3:G4"/>
  </mergeCells>
  <printOptions horizontalCentered="1" verticalCentered="1"/>
  <pageMargins left="0.25" right="0.25" top="0.75" bottom="0.75" header="0.3" footer="0.3"/>
  <pageSetup paperSize="9" scale="50" orientation="portrait" r:id="rId1"/>
  <colBreaks count="1" manualBreakCount="1">
    <brk id="1"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H155"/>
  <sheetViews>
    <sheetView showGridLines="0" topLeftCell="A108" workbookViewId="0">
      <selection activeCell="Z12" sqref="Z12"/>
    </sheetView>
  </sheetViews>
  <sheetFormatPr defaultColWidth="4.140625" defaultRowHeight="15.75"/>
  <cols>
    <col min="1" max="1" width="4.140625" style="189"/>
    <col min="2" max="2" width="6.7109375" style="188" customWidth="1"/>
    <col min="3" max="3" width="4.140625" style="188" customWidth="1"/>
    <col min="4" max="4" width="9.140625" style="190" customWidth="1"/>
    <col min="5" max="5" width="10.85546875" style="188" customWidth="1"/>
    <col min="6" max="6" width="4.140625" style="191" customWidth="1"/>
    <col min="7" max="7" width="24.140625" style="191" customWidth="1"/>
    <col min="8" max="8" width="4.140625" style="188" customWidth="1"/>
    <col min="9" max="9" width="7.7109375" style="188" customWidth="1"/>
    <col min="10" max="10" width="4.140625" style="191" customWidth="1"/>
    <col min="11" max="11" width="8.5703125" style="188" customWidth="1"/>
    <col min="12" max="12" width="5.28515625" style="188" customWidth="1"/>
    <col min="13" max="13" width="7.28515625" style="188" customWidth="1"/>
    <col min="14" max="14" width="3.7109375" style="188" customWidth="1"/>
    <col min="15" max="15" width="10" style="188" customWidth="1"/>
    <col min="16" max="16" width="4.140625" style="188" customWidth="1"/>
    <col min="17" max="17" width="8.140625" style="188" customWidth="1"/>
    <col min="18" max="18" width="0.7109375" style="188" customWidth="1"/>
    <col min="19" max="19" width="4.140625" style="188" customWidth="1"/>
    <col min="20" max="20" width="8.7109375" style="192" customWidth="1"/>
    <col min="21" max="21" width="4.140625" style="192" customWidth="1"/>
    <col min="22" max="22" width="4.140625" style="193" customWidth="1"/>
    <col min="23" max="24" width="4.140625" style="194" customWidth="1"/>
    <col min="25" max="25" width="14.85546875" style="195" customWidth="1"/>
    <col min="26" max="26" width="44" style="188" customWidth="1"/>
    <col min="27" max="258" width="4.140625" style="189"/>
    <col min="259" max="281" width="4.140625" style="189" customWidth="1"/>
    <col min="282" max="282" width="6.28515625" style="189" customWidth="1"/>
    <col min="283" max="514" width="4.140625" style="189"/>
    <col min="515" max="537" width="4.140625" style="189" customWidth="1"/>
    <col min="538" max="538" width="6.28515625" style="189" customWidth="1"/>
    <col min="539" max="770" width="4.140625" style="189"/>
    <col min="771" max="793" width="4.140625" style="189" customWidth="1"/>
    <col min="794" max="794" width="6.28515625" style="189" customWidth="1"/>
    <col min="795" max="1026" width="4.140625" style="189"/>
    <col min="1027" max="1049" width="4.140625" style="189" customWidth="1"/>
    <col min="1050" max="1050" width="6.28515625" style="189" customWidth="1"/>
    <col min="1051" max="1282" width="4.140625" style="189"/>
    <col min="1283" max="1305" width="4.140625" style="189" customWidth="1"/>
    <col min="1306" max="1306" width="6.28515625" style="189" customWidth="1"/>
    <col min="1307" max="1538" width="4.140625" style="189"/>
    <col min="1539" max="1561" width="4.140625" style="189" customWidth="1"/>
    <col min="1562" max="1562" width="6.28515625" style="189" customWidth="1"/>
    <col min="1563" max="1794" width="4.140625" style="189"/>
    <col min="1795" max="1817" width="4.140625" style="189" customWidth="1"/>
    <col min="1818" max="1818" width="6.28515625" style="189" customWidth="1"/>
    <col min="1819" max="2050" width="4.140625" style="189"/>
    <col min="2051" max="2073" width="4.140625" style="189" customWidth="1"/>
    <col min="2074" max="2074" width="6.28515625" style="189" customWidth="1"/>
    <col min="2075" max="2306" width="4.140625" style="189"/>
    <col min="2307" max="2329" width="4.140625" style="189" customWidth="1"/>
    <col min="2330" max="2330" width="6.28515625" style="189" customWidth="1"/>
    <col min="2331" max="2562" width="4.140625" style="189"/>
    <col min="2563" max="2585" width="4.140625" style="189" customWidth="1"/>
    <col min="2586" max="2586" width="6.28515625" style="189" customWidth="1"/>
    <col min="2587" max="2818" width="4.140625" style="189"/>
    <col min="2819" max="2841" width="4.140625" style="189" customWidth="1"/>
    <col min="2842" max="2842" width="6.28515625" style="189" customWidth="1"/>
    <col min="2843" max="3074" width="4.140625" style="189"/>
    <col min="3075" max="3097" width="4.140625" style="189" customWidth="1"/>
    <col min="3098" max="3098" width="6.28515625" style="189" customWidth="1"/>
    <col min="3099" max="3330" width="4.140625" style="189"/>
    <col min="3331" max="3353" width="4.140625" style="189" customWidth="1"/>
    <col min="3354" max="3354" width="6.28515625" style="189" customWidth="1"/>
    <col min="3355" max="3586" width="4.140625" style="189"/>
    <col min="3587" max="3609" width="4.140625" style="189" customWidth="1"/>
    <col min="3610" max="3610" width="6.28515625" style="189" customWidth="1"/>
    <col min="3611" max="3842" width="4.140625" style="189"/>
    <col min="3843" max="3865" width="4.140625" style="189" customWidth="1"/>
    <col min="3866" max="3866" width="6.28515625" style="189" customWidth="1"/>
    <col min="3867" max="4098" width="4.140625" style="189"/>
    <col min="4099" max="4121" width="4.140625" style="189" customWidth="1"/>
    <col min="4122" max="4122" width="6.28515625" style="189" customWidth="1"/>
    <col min="4123" max="4354" width="4.140625" style="189"/>
    <col min="4355" max="4377" width="4.140625" style="189" customWidth="1"/>
    <col min="4378" max="4378" width="6.28515625" style="189" customWidth="1"/>
    <col min="4379" max="4610" width="4.140625" style="189"/>
    <col min="4611" max="4633" width="4.140625" style="189" customWidth="1"/>
    <col min="4634" max="4634" width="6.28515625" style="189" customWidth="1"/>
    <col min="4635" max="4866" width="4.140625" style="189"/>
    <col min="4867" max="4889" width="4.140625" style="189" customWidth="1"/>
    <col min="4890" max="4890" width="6.28515625" style="189" customWidth="1"/>
    <col min="4891" max="5122" width="4.140625" style="189"/>
    <col min="5123" max="5145" width="4.140625" style="189" customWidth="1"/>
    <col min="5146" max="5146" width="6.28515625" style="189" customWidth="1"/>
    <col min="5147" max="5378" width="4.140625" style="189"/>
    <col min="5379" max="5401" width="4.140625" style="189" customWidth="1"/>
    <col min="5402" max="5402" width="6.28515625" style="189" customWidth="1"/>
    <col min="5403" max="5634" width="4.140625" style="189"/>
    <col min="5635" max="5657" width="4.140625" style="189" customWidth="1"/>
    <col min="5658" max="5658" width="6.28515625" style="189" customWidth="1"/>
    <col min="5659" max="5890" width="4.140625" style="189"/>
    <col min="5891" max="5913" width="4.140625" style="189" customWidth="1"/>
    <col min="5914" max="5914" width="6.28515625" style="189" customWidth="1"/>
    <col min="5915" max="6146" width="4.140625" style="189"/>
    <col min="6147" max="6169" width="4.140625" style="189" customWidth="1"/>
    <col min="6170" max="6170" width="6.28515625" style="189" customWidth="1"/>
    <col min="6171" max="6402" width="4.140625" style="189"/>
    <col min="6403" max="6425" width="4.140625" style="189" customWidth="1"/>
    <col min="6426" max="6426" width="6.28515625" style="189" customWidth="1"/>
    <col min="6427" max="6658" width="4.140625" style="189"/>
    <col min="6659" max="6681" width="4.140625" style="189" customWidth="1"/>
    <col min="6682" max="6682" width="6.28515625" style="189" customWidth="1"/>
    <col min="6683" max="6914" width="4.140625" style="189"/>
    <col min="6915" max="6937" width="4.140625" style="189" customWidth="1"/>
    <col min="6938" max="6938" width="6.28515625" style="189" customWidth="1"/>
    <col min="6939" max="7170" width="4.140625" style="189"/>
    <col min="7171" max="7193" width="4.140625" style="189" customWidth="1"/>
    <col min="7194" max="7194" width="6.28515625" style="189" customWidth="1"/>
    <col min="7195" max="7426" width="4.140625" style="189"/>
    <col min="7427" max="7449" width="4.140625" style="189" customWidth="1"/>
    <col min="7450" max="7450" width="6.28515625" style="189" customWidth="1"/>
    <col min="7451" max="7682" width="4.140625" style="189"/>
    <col min="7683" max="7705" width="4.140625" style="189" customWidth="1"/>
    <col min="7706" max="7706" width="6.28515625" style="189" customWidth="1"/>
    <col min="7707" max="7938" width="4.140625" style="189"/>
    <col min="7939" max="7961" width="4.140625" style="189" customWidth="1"/>
    <col min="7962" max="7962" width="6.28515625" style="189" customWidth="1"/>
    <col min="7963" max="8194" width="4.140625" style="189"/>
    <col min="8195" max="8217" width="4.140625" style="189" customWidth="1"/>
    <col min="8218" max="8218" width="6.28515625" style="189" customWidth="1"/>
    <col min="8219" max="8450" width="4.140625" style="189"/>
    <col min="8451" max="8473" width="4.140625" style="189" customWidth="1"/>
    <col min="8474" max="8474" width="6.28515625" style="189" customWidth="1"/>
    <col min="8475" max="8706" width="4.140625" style="189"/>
    <col min="8707" max="8729" width="4.140625" style="189" customWidth="1"/>
    <col min="8730" max="8730" width="6.28515625" style="189" customWidth="1"/>
    <col min="8731" max="8962" width="4.140625" style="189"/>
    <col min="8963" max="8985" width="4.140625" style="189" customWidth="1"/>
    <col min="8986" max="8986" width="6.28515625" style="189" customWidth="1"/>
    <col min="8987" max="9218" width="4.140625" style="189"/>
    <col min="9219" max="9241" width="4.140625" style="189" customWidth="1"/>
    <col min="9242" max="9242" width="6.28515625" style="189" customWidth="1"/>
    <col min="9243" max="9474" width="4.140625" style="189"/>
    <col min="9475" max="9497" width="4.140625" style="189" customWidth="1"/>
    <col min="9498" max="9498" width="6.28515625" style="189" customWidth="1"/>
    <col min="9499" max="9730" width="4.140625" style="189"/>
    <col min="9731" max="9753" width="4.140625" style="189" customWidth="1"/>
    <col min="9754" max="9754" width="6.28515625" style="189" customWidth="1"/>
    <col min="9755" max="9986" width="4.140625" style="189"/>
    <col min="9987" max="10009" width="4.140625" style="189" customWidth="1"/>
    <col min="10010" max="10010" width="6.28515625" style="189" customWidth="1"/>
    <col min="10011" max="10242" width="4.140625" style="189"/>
    <col min="10243" max="10265" width="4.140625" style="189" customWidth="1"/>
    <col min="10266" max="10266" width="6.28515625" style="189" customWidth="1"/>
    <col min="10267" max="10498" width="4.140625" style="189"/>
    <col min="10499" max="10521" width="4.140625" style="189" customWidth="1"/>
    <col min="10522" max="10522" width="6.28515625" style="189" customWidth="1"/>
    <col min="10523" max="10754" width="4.140625" style="189"/>
    <col min="10755" max="10777" width="4.140625" style="189" customWidth="1"/>
    <col min="10778" max="10778" width="6.28515625" style="189" customWidth="1"/>
    <col min="10779" max="11010" width="4.140625" style="189"/>
    <col min="11011" max="11033" width="4.140625" style="189" customWidth="1"/>
    <col min="11034" max="11034" width="6.28515625" style="189" customWidth="1"/>
    <col min="11035" max="11266" width="4.140625" style="189"/>
    <col min="11267" max="11289" width="4.140625" style="189" customWidth="1"/>
    <col min="11290" max="11290" width="6.28515625" style="189" customWidth="1"/>
    <col min="11291" max="11522" width="4.140625" style="189"/>
    <col min="11523" max="11545" width="4.140625" style="189" customWidth="1"/>
    <col min="11546" max="11546" width="6.28515625" style="189" customWidth="1"/>
    <col min="11547" max="11778" width="4.140625" style="189"/>
    <col min="11779" max="11801" width="4.140625" style="189" customWidth="1"/>
    <col min="11802" max="11802" width="6.28515625" style="189" customWidth="1"/>
    <col min="11803" max="12034" width="4.140625" style="189"/>
    <col min="12035" max="12057" width="4.140625" style="189" customWidth="1"/>
    <col min="12058" max="12058" width="6.28515625" style="189" customWidth="1"/>
    <col min="12059" max="12290" width="4.140625" style="189"/>
    <col min="12291" max="12313" width="4.140625" style="189" customWidth="1"/>
    <col min="12314" max="12314" width="6.28515625" style="189" customWidth="1"/>
    <col min="12315" max="12546" width="4.140625" style="189"/>
    <col min="12547" max="12569" width="4.140625" style="189" customWidth="1"/>
    <col min="12570" max="12570" width="6.28515625" style="189" customWidth="1"/>
    <col min="12571" max="12802" width="4.140625" style="189"/>
    <col min="12803" max="12825" width="4.140625" style="189" customWidth="1"/>
    <col min="12826" max="12826" width="6.28515625" style="189" customWidth="1"/>
    <col min="12827" max="13058" width="4.140625" style="189"/>
    <col min="13059" max="13081" width="4.140625" style="189" customWidth="1"/>
    <col min="13082" max="13082" width="6.28515625" style="189" customWidth="1"/>
    <col min="13083" max="13314" width="4.140625" style="189"/>
    <col min="13315" max="13337" width="4.140625" style="189" customWidth="1"/>
    <col min="13338" max="13338" width="6.28515625" style="189" customWidth="1"/>
    <col min="13339" max="13570" width="4.140625" style="189"/>
    <col min="13571" max="13593" width="4.140625" style="189" customWidth="1"/>
    <col min="13594" max="13594" width="6.28515625" style="189" customWidth="1"/>
    <col min="13595" max="13826" width="4.140625" style="189"/>
    <col min="13827" max="13849" width="4.140625" style="189" customWidth="1"/>
    <col min="13850" max="13850" width="6.28515625" style="189" customWidth="1"/>
    <col min="13851" max="14082" width="4.140625" style="189"/>
    <col min="14083" max="14105" width="4.140625" style="189" customWidth="1"/>
    <col min="14106" max="14106" width="6.28515625" style="189" customWidth="1"/>
    <col min="14107" max="14338" width="4.140625" style="189"/>
    <col min="14339" max="14361" width="4.140625" style="189" customWidth="1"/>
    <col min="14362" max="14362" width="6.28515625" style="189" customWidth="1"/>
    <col min="14363" max="14594" width="4.140625" style="189"/>
    <col min="14595" max="14617" width="4.140625" style="189" customWidth="1"/>
    <col min="14618" max="14618" width="6.28515625" style="189" customWidth="1"/>
    <col min="14619" max="14850" width="4.140625" style="189"/>
    <col min="14851" max="14873" width="4.140625" style="189" customWidth="1"/>
    <col min="14874" max="14874" width="6.28515625" style="189" customWidth="1"/>
    <col min="14875" max="15106" width="4.140625" style="189"/>
    <col min="15107" max="15129" width="4.140625" style="189" customWidth="1"/>
    <col min="15130" max="15130" width="6.28515625" style="189" customWidth="1"/>
    <col min="15131" max="15362" width="4.140625" style="189"/>
    <col min="15363" max="15385" width="4.140625" style="189" customWidth="1"/>
    <col min="15386" max="15386" width="6.28515625" style="189" customWidth="1"/>
    <col min="15387" max="15618" width="4.140625" style="189"/>
    <col min="15619" max="15641" width="4.140625" style="189" customWidth="1"/>
    <col min="15642" max="15642" width="6.28515625" style="189" customWidth="1"/>
    <col min="15643" max="15874" width="4.140625" style="189"/>
    <col min="15875" max="15897" width="4.140625" style="189" customWidth="1"/>
    <col min="15898" max="15898" width="6.28515625" style="189" customWidth="1"/>
    <col min="15899" max="16130" width="4.140625" style="189"/>
    <col min="16131" max="16153" width="4.140625" style="189" customWidth="1"/>
    <col min="16154" max="16154" width="6.28515625" style="189" customWidth="1"/>
    <col min="16155" max="16384" width="4.140625" style="189"/>
  </cols>
  <sheetData>
    <row r="1" spans="1:34" ht="15">
      <c r="A1" s="403"/>
      <c r="B1" s="403"/>
      <c r="C1" s="403"/>
      <c r="D1" s="404"/>
      <c r="E1" s="403"/>
      <c r="F1" s="405"/>
      <c r="G1" s="405"/>
      <c r="H1" s="403"/>
      <c r="I1" s="403"/>
      <c r="J1" s="405"/>
      <c r="K1" s="403"/>
      <c r="L1" s="403"/>
      <c r="M1" s="403"/>
      <c r="N1" s="403"/>
      <c r="O1" s="403"/>
      <c r="P1" s="403"/>
      <c r="Q1" s="403"/>
      <c r="R1" s="403"/>
      <c r="S1" s="403"/>
      <c r="T1" s="406"/>
      <c r="U1" s="406"/>
      <c r="V1" s="407"/>
      <c r="W1" s="408"/>
      <c r="X1" s="408"/>
      <c r="Y1" s="409"/>
      <c r="Z1" s="403"/>
    </row>
    <row r="2" spans="1:34" ht="19.5" customHeight="1">
      <c r="A2" s="403"/>
      <c r="B2" s="403"/>
      <c r="C2" s="733" t="s">
        <v>192</v>
      </c>
      <c r="D2" s="734"/>
      <c r="E2" s="734"/>
      <c r="F2" s="734"/>
      <c r="G2" s="734"/>
      <c r="H2" s="735"/>
      <c r="I2" s="735"/>
      <c r="J2" s="735"/>
      <c r="K2" s="735"/>
      <c r="L2" s="735"/>
      <c r="M2" s="735"/>
      <c r="N2" s="735"/>
      <c r="O2" s="735"/>
      <c r="P2" s="735"/>
      <c r="Q2" s="735"/>
      <c r="R2" s="735"/>
      <c r="S2" s="735"/>
      <c r="T2" s="735"/>
      <c r="U2" s="735"/>
      <c r="V2" s="735"/>
      <c r="W2" s="735"/>
      <c r="X2" s="736"/>
      <c r="Y2" s="409"/>
      <c r="Z2" s="403"/>
    </row>
    <row r="3" spans="1:34" ht="20.25" customHeight="1">
      <c r="A3" s="403"/>
      <c r="B3" s="403"/>
      <c r="C3" s="737" t="s">
        <v>193</v>
      </c>
      <c r="D3" s="737"/>
      <c r="E3" s="737"/>
      <c r="F3" s="738"/>
      <c r="G3" s="738"/>
      <c r="H3" s="738"/>
      <c r="I3" s="738"/>
      <c r="J3" s="738"/>
      <c r="K3" s="738"/>
      <c r="L3" s="738"/>
      <c r="M3" s="738"/>
      <c r="N3" s="738"/>
      <c r="O3" s="738"/>
      <c r="P3" s="738"/>
      <c r="Q3" s="738"/>
      <c r="R3" s="738"/>
      <c r="S3" s="738"/>
      <c r="T3" s="738"/>
      <c r="U3" s="738"/>
      <c r="V3" s="739" t="s">
        <v>194</v>
      </c>
      <c r="W3" s="740"/>
      <c r="X3" s="740"/>
      <c r="Y3" s="410"/>
      <c r="Z3" s="403"/>
    </row>
    <row r="4" spans="1:34">
      <c r="A4" s="403"/>
      <c r="B4" s="397" t="s">
        <v>195</v>
      </c>
      <c r="C4" s="741" t="s">
        <v>196</v>
      </c>
      <c r="D4" s="741"/>
      <c r="E4" s="741"/>
      <c r="F4" s="742"/>
      <c r="G4" s="742"/>
      <c r="H4" s="742"/>
      <c r="I4" s="742"/>
      <c r="J4" s="742"/>
      <c r="K4" s="742"/>
      <c r="L4" s="742"/>
      <c r="M4" s="742"/>
      <c r="N4" s="742"/>
      <c r="O4" s="742"/>
      <c r="P4" s="742"/>
      <c r="Q4" s="742"/>
      <c r="R4" s="742"/>
      <c r="S4" s="742"/>
      <c r="T4" s="742"/>
      <c r="U4" s="742"/>
      <c r="V4" s="743">
        <v>0.2</v>
      </c>
      <c r="W4" s="744"/>
      <c r="X4" s="744"/>
      <c r="Y4" s="410"/>
      <c r="Z4" s="403"/>
    </row>
    <row r="5" spans="1:34">
      <c r="A5" s="403"/>
      <c r="B5" s="397" t="s">
        <v>197</v>
      </c>
      <c r="C5" s="741" t="s">
        <v>198</v>
      </c>
      <c r="D5" s="741"/>
      <c r="E5" s="741"/>
      <c r="F5" s="742"/>
      <c r="G5" s="742"/>
      <c r="H5" s="742"/>
      <c r="I5" s="742"/>
      <c r="J5" s="742"/>
      <c r="K5" s="742"/>
      <c r="L5" s="742"/>
      <c r="M5" s="742"/>
      <c r="N5" s="742"/>
      <c r="O5" s="742"/>
      <c r="P5" s="742"/>
      <c r="Q5" s="742"/>
      <c r="R5" s="742"/>
      <c r="S5" s="742"/>
      <c r="T5" s="742"/>
      <c r="U5" s="742"/>
      <c r="V5" s="743">
        <v>1.4999999999999999E-2</v>
      </c>
      <c r="W5" s="744"/>
      <c r="X5" s="744"/>
      <c r="Y5" s="411"/>
      <c r="Z5" s="403"/>
    </row>
    <row r="6" spans="1:34">
      <c r="A6" s="403"/>
      <c r="B6" s="397" t="s">
        <v>199</v>
      </c>
      <c r="C6" s="741" t="s">
        <v>200</v>
      </c>
      <c r="D6" s="741"/>
      <c r="E6" s="741"/>
      <c r="F6" s="742"/>
      <c r="G6" s="742"/>
      <c r="H6" s="742"/>
      <c r="I6" s="742"/>
      <c r="J6" s="742"/>
      <c r="K6" s="742"/>
      <c r="L6" s="742"/>
      <c r="M6" s="742"/>
      <c r="N6" s="742"/>
      <c r="O6" s="742"/>
      <c r="P6" s="742"/>
      <c r="Q6" s="742"/>
      <c r="R6" s="742"/>
      <c r="S6" s="742"/>
      <c r="T6" s="742"/>
      <c r="U6" s="742"/>
      <c r="V6" s="743">
        <v>0.01</v>
      </c>
      <c r="W6" s="744"/>
      <c r="X6" s="744"/>
      <c r="Y6" s="411"/>
      <c r="Z6" s="403"/>
    </row>
    <row r="7" spans="1:34" ht="15">
      <c r="A7" s="403"/>
      <c r="B7" s="397" t="s">
        <v>201</v>
      </c>
      <c r="C7" s="741" t="s">
        <v>202</v>
      </c>
      <c r="D7" s="741"/>
      <c r="E7" s="741"/>
      <c r="F7" s="742"/>
      <c r="G7" s="742"/>
      <c r="H7" s="742"/>
      <c r="I7" s="742"/>
      <c r="J7" s="742"/>
      <c r="K7" s="742"/>
      <c r="L7" s="742"/>
      <c r="M7" s="742"/>
      <c r="N7" s="742"/>
      <c r="O7" s="742"/>
      <c r="P7" s="742"/>
      <c r="Q7" s="742"/>
      <c r="R7" s="742"/>
      <c r="S7" s="742"/>
      <c r="T7" s="742"/>
      <c r="U7" s="742"/>
      <c r="V7" s="743">
        <v>2E-3</v>
      </c>
      <c r="W7" s="744"/>
      <c r="X7" s="744"/>
      <c r="Y7" s="412"/>
      <c r="Z7" s="403"/>
    </row>
    <row r="8" spans="1:34" ht="15">
      <c r="A8" s="403"/>
      <c r="B8" s="397" t="s">
        <v>203</v>
      </c>
      <c r="C8" s="741" t="s">
        <v>204</v>
      </c>
      <c r="D8" s="741"/>
      <c r="E8" s="741"/>
      <c r="F8" s="742"/>
      <c r="G8" s="742"/>
      <c r="H8" s="742"/>
      <c r="I8" s="742"/>
      <c r="J8" s="742"/>
      <c r="K8" s="742"/>
      <c r="L8" s="742"/>
      <c r="M8" s="742"/>
      <c r="N8" s="742"/>
      <c r="O8" s="742"/>
      <c r="P8" s="742"/>
      <c r="Q8" s="742"/>
      <c r="R8" s="742"/>
      <c r="S8" s="742"/>
      <c r="T8" s="742"/>
      <c r="U8" s="742"/>
      <c r="V8" s="743">
        <v>2.5000000000000001E-2</v>
      </c>
      <c r="W8" s="744"/>
      <c r="X8" s="744"/>
      <c r="Y8" s="412"/>
      <c r="Z8" s="403"/>
    </row>
    <row r="9" spans="1:34" ht="15">
      <c r="A9" s="403"/>
      <c r="B9" s="413" t="s">
        <v>205</v>
      </c>
      <c r="C9" s="745" t="s">
        <v>206</v>
      </c>
      <c r="D9" s="745"/>
      <c r="E9" s="745"/>
      <c r="F9" s="746"/>
      <c r="G9" s="746"/>
      <c r="H9" s="746"/>
      <c r="I9" s="746"/>
      <c r="J9" s="746"/>
      <c r="K9" s="746"/>
      <c r="L9" s="746"/>
      <c r="M9" s="746"/>
      <c r="N9" s="746"/>
      <c r="O9" s="746"/>
      <c r="P9" s="746"/>
      <c r="Q9" s="746"/>
      <c r="R9" s="746"/>
      <c r="S9" s="746"/>
      <c r="T9" s="746"/>
      <c r="U9" s="746"/>
      <c r="V9" s="743">
        <v>0.08</v>
      </c>
      <c r="W9" s="744"/>
      <c r="X9" s="744"/>
      <c r="Y9" s="412"/>
      <c r="Z9" s="403"/>
    </row>
    <row r="10" spans="1:34" ht="21.75" customHeight="1">
      <c r="A10" s="403"/>
      <c r="B10" s="939" t="s">
        <v>207</v>
      </c>
      <c r="C10" s="747" t="s">
        <v>208</v>
      </c>
      <c r="D10" s="748"/>
      <c r="E10" s="748"/>
      <c r="F10" s="749"/>
      <c r="G10" s="749"/>
      <c r="H10" s="749"/>
      <c r="I10" s="749"/>
      <c r="J10" s="749"/>
      <c r="K10" s="749"/>
      <c r="L10" s="749"/>
      <c r="M10" s="749"/>
      <c r="N10" s="749"/>
      <c r="O10" s="749"/>
      <c r="P10" s="749"/>
      <c r="Q10" s="749"/>
      <c r="R10" s="749"/>
      <c r="S10" s="749"/>
      <c r="T10" s="749"/>
      <c r="U10" s="750"/>
      <c r="V10" s="946">
        <f>F11*N11</f>
        <v>0.03</v>
      </c>
      <c r="W10" s="789"/>
      <c r="X10" s="790"/>
      <c r="Y10" s="414"/>
      <c r="Z10" s="415"/>
      <c r="AA10" s="196"/>
      <c r="AB10" s="196"/>
      <c r="AC10" s="196"/>
      <c r="AD10" s="196"/>
      <c r="AE10" s="196"/>
      <c r="AF10" s="196"/>
      <c r="AG10" s="196"/>
      <c r="AH10" s="196"/>
    </row>
    <row r="11" spans="1:34">
      <c r="A11" s="403"/>
      <c r="B11" s="940"/>
      <c r="C11" s="416"/>
      <c r="D11" s="751" t="s">
        <v>209</v>
      </c>
      <c r="E11" s="751"/>
      <c r="F11" s="752">
        <v>0.03</v>
      </c>
      <c r="G11" s="753"/>
      <c r="H11" s="754"/>
      <c r="I11" s="417"/>
      <c r="J11" s="417"/>
      <c r="K11" s="755" t="s">
        <v>210</v>
      </c>
      <c r="L11" s="755"/>
      <c r="M11" s="755"/>
      <c r="N11" s="756">
        <v>1</v>
      </c>
      <c r="O11" s="757"/>
      <c r="P11" s="758"/>
      <c r="Q11" s="417"/>
      <c r="R11" s="417"/>
      <c r="S11" s="417"/>
      <c r="T11" s="418"/>
      <c r="U11" s="419"/>
      <c r="V11" s="947"/>
      <c r="W11" s="789"/>
      <c r="X11" s="790"/>
      <c r="Y11" s="412"/>
      <c r="Z11" s="403"/>
    </row>
    <row r="12" spans="1:34" ht="18.75" customHeight="1">
      <c r="A12" s="403"/>
      <c r="B12" s="397" t="s">
        <v>211</v>
      </c>
      <c r="C12" s="759" t="s">
        <v>212</v>
      </c>
      <c r="D12" s="759"/>
      <c r="E12" s="759"/>
      <c r="F12" s="760"/>
      <c r="G12" s="760"/>
      <c r="H12" s="760"/>
      <c r="I12" s="760"/>
      <c r="J12" s="760"/>
      <c r="K12" s="760"/>
      <c r="L12" s="760"/>
      <c r="M12" s="760"/>
      <c r="N12" s="760"/>
      <c r="O12" s="760"/>
      <c r="P12" s="760"/>
      <c r="Q12" s="760"/>
      <c r="R12" s="760"/>
      <c r="S12" s="760"/>
      <c r="T12" s="760"/>
      <c r="U12" s="760"/>
      <c r="V12" s="743">
        <v>6.0000000000000001E-3</v>
      </c>
      <c r="W12" s="744"/>
      <c r="X12" s="744"/>
      <c r="Y12" s="412"/>
      <c r="Z12" s="409"/>
    </row>
    <row r="13" spans="1:34" ht="19.5" customHeight="1">
      <c r="A13" s="403"/>
      <c r="B13" s="403"/>
      <c r="C13" s="761" t="s">
        <v>213</v>
      </c>
      <c r="D13" s="762"/>
      <c r="E13" s="762"/>
      <c r="F13" s="763"/>
      <c r="G13" s="763"/>
      <c r="H13" s="763"/>
      <c r="I13" s="763"/>
      <c r="J13" s="763"/>
      <c r="K13" s="763"/>
      <c r="L13" s="763"/>
      <c r="M13" s="763"/>
      <c r="N13" s="763"/>
      <c r="O13" s="763"/>
      <c r="P13" s="763"/>
      <c r="Q13" s="763"/>
      <c r="R13" s="763"/>
      <c r="S13" s="763"/>
      <c r="T13" s="763"/>
      <c r="U13" s="764"/>
      <c r="V13" s="765">
        <f>SUM(V4:V12)</f>
        <v>0.3680000000000001</v>
      </c>
      <c r="W13" s="766"/>
      <c r="X13" s="766"/>
      <c r="Y13" s="420"/>
      <c r="Z13" s="403"/>
    </row>
    <row r="14" spans="1:34">
      <c r="A14" s="403"/>
      <c r="B14" s="403"/>
      <c r="C14" s="767"/>
      <c r="D14" s="768"/>
      <c r="E14" s="768"/>
      <c r="F14" s="768"/>
      <c r="G14" s="768"/>
      <c r="H14" s="768"/>
      <c r="I14" s="768"/>
      <c r="J14" s="768"/>
      <c r="K14" s="768"/>
      <c r="L14" s="768"/>
      <c r="M14" s="768"/>
      <c r="N14" s="768"/>
      <c r="O14" s="768"/>
      <c r="P14" s="768"/>
      <c r="Q14" s="768"/>
      <c r="R14" s="768"/>
      <c r="S14" s="768"/>
      <c r="T14" s="768"/>
      <c r="U14" s="768"/>
      <c r="V14" s="768"/>
      <c r="W14" s="768"/>
      <c r="X14" s="768"/>
      <c r="Y14" s="411"/>
      <c r="Z14" s="403"/>
    </row>
    <row r="15" spans="1:34" ht="19.5" customHeight="1">
      <c r="A15" s="403"/>
      <c r="B15" s="403"/>
      <c r="C15" s="769" t="s">
        <v>214</v>
      </c>
      <c r="D15" s="770"/>
      <c r="E15" s="770"/>
      <c r="F15" s="770"/>
      <c r="G15" s="770"/>
      <c r="H15" s="770"/>
      <c r="I15" s="770"/>
      <c r="J15" s="770"/>
      <c r="K15" s="770"/>
      <c r="L15" s="770"/>
      <c r="M15" s="770"/>
      <c r="N15" s="770"/>
      <c r="O15" s="770"/>
      <c r="P15" s="770"/>
      <c r="Q15" s="770"/>
      <c r="R15" s="770"/>
      <c r="S15" s="770"/>
      <c r="T15" s="770"/>
      <c r="U15" s="770"/>
      <c r="V15" s="770"/>
      <c r="W15" s="770"/>
      <c r="X15" s="771"/>
      <c r="Y15" s="409"/>
      <c r="Z15" s="403"/>
    </row>
    <row r="16" spans="1:34" ht="15">
      <c r="A16" s="403"/>
      <c r="B16" s="939" t="s">
        <v>195</v>
      </c>
      <c r="C16" s="884" t="s">
        <v>215</v>
      </c>
      <c r="D16" s="749"/>
      <c r="E16" s="749"/>
      <c r="F16" s="749"/>
      <c r="G16" s="749"/>
      <c r="H16" s="772" t="s">
        <v>216</v>
      </c>
      <c r="I16" s="773"/>
      <c r="J16" s="773"/>
      <c r="K16" s="773"/>
      <c r="L16" s="773"/>
      <c r="M16" s="773"/>
      <c r="N16" s="773"/>
      <c r="O16" s="773"/>
      <c r="P16" s="773"/>
      <c r="Q16" s="773"/>
      <c r="R16" s="773"/>
      <c r="S16" s="773"/>
      <c r="T16" s="773"/>
      <c r="U16" s="774"/>
      <c r="V16" s="791">
        <f>H18/P18</f>
        <v>8.3333333333333329E-2</v>
      </c>
      <c r="W16" s="791"/>
      <c r="X16" s="792"/>
      <c r="Y16" s="409"/>
      <c r="Z16" s="403"/>
    </row>
    <row r="17" spans="1:26" ht="15">
      <c r="A17" s="403"/>
      <c r="B17" s="941"/>
      <c r="C17" s="830"/>
      <c r="D17" s="831"/>
      <c r="E17" s="831"/>
      <c r="F17" s="831"/>
      <c r="G17" s="831"/>
      <c r="H17" s="421"/>
      <c r="I17" s="422"/>
      <c r="J17" s="422"/>
      <c r="K17" s="422"/>
      <c r="L17" s="422"/>
      <c r="M17" s="422"/>
      <c r="N17" s="422"/>
      <c r="O17" s="422"/>
      <c r="P17" s="422"/>
      <c r="Q17" s="422"/>
      <c r="R17" s="422"/>
      <c r="S17" s="422"/>
      <c r="T17" s="422"/>
      <c r="U17" s="423"/>
      <c r="V17" s="793"/>
      <c r="W17" s="793"/>
      <c r="X17" s="794"/>
      <c r="Y17" s="409"/>
      <c r="Z17" s="403"/>
    </row>
    <row r="18" spans="1:26" ht="15">
      <c r="A18" s="403"/>
      <c r="B18" s="940"/>
      <c r="C18" s="832"/>
      <c r="D18" s="755"/>
      <c r="E18" s="755"/>
      <c r="F18" s="755"/>
      <c r="G18" s="755"/>
      <c r="H18" s="775">
        <v>1</v>
      </c>
      <c r="I18" s="776"/>
      <c r="J18" s="777"/>
      <c r="K18" s="777"/>
      <c r="L18" s="777"/>
      <c r="M18" s="777"/>
      <c r="N18" s="778"/>
      <c r="O18" s="426" t="s">
        <v>217</v>
      </c>
      <c r="P18" s="779">
        <v>12</v>
      </c>
      <c r="Q18" s="779"/>
      <c r="R18" s="779"/>
      <c r="S18" s="779"/>
      <c r="T18" s="779"/>
      <c r="U18" s="780"/>
      <c r="V18" s="795"/>
      <c r="W18" s="795"/>
      <c r="X18" s="796"/>
      <c r="Y18" s="409"/>
      <c r="Z18" s="403"/>
    </row>
    <row r="19" spans="1:26" ht="15">
      <c r="A19" s="403"/>
      <c r="B19" s="939" t="s">
        <v>197</v>
      </c>
      <c r="C19" s="884" t="s">
        <v>218</v>
      </c>
      <c r="D19" s="749"/>
      <c r="E19" s="749"/>
      <c r="F19" s="749"/>
      <c r="G19" s="749"/>
      <c r="H19" s="772" t="s">
        <v>219</v>
      </c>
      <c r="I19" s="773"/>
      <c r="J19" s="773"/>
      <c r="K19" s="773"/>
      <c r="L19" s="773"/>
      <c r="M19" s="773"/>
      <c r="N19" s="773"/>
      <c r="O19" s="773"/>
      <c r="P19" s="773"/>
      <c r="Q19" s="773"/>
      <c r="R19" s="773"/>
      <c r="S19" s="773"/>
      <c r="T19" s="773"/>
      <c r="U19" s="774"/>
      <c r="V19" s="791">
        <f>H21/K21/N21</f>
        <v>2.7777777777777776E-2</v>
      </c>
      <c r="W19" s="791"/>
      <c r="X19" s="792"/>
      <c r="Y19" s="409"/>
      <c r="Z19" s="403"/>
    </row>
    <row r="20" spans="1:26" ht="15">
      <c r="A20" s="403"/>
      <c r="B20" s="941"/>
      <c r="C20" s="830"/>
      <c r="D20" s="831"/>
      <c r="E20" s="831"/>
      <c r="F20" s="831"/>
      <c r="G20" s="831"/>
      <c r="H20" s="421"/>
      <c r="I20" s="422"/>
      <c r="J20" s="422"/>
      <c r="K20" s="422"/>
      <c r="L20" s="422"/>
      <c r="M20" s="422"/>
      <c r="N20" s="422"/>
      <c r="O20" s="422"/>
      <c r="P20" s="422"/>
      <c r="Q20" s="422"/>
      <c r="R20" s="422"/>
      <c r="S20" s="422"/>
      <c r="T20" s="422"/>
      <c r="U20" s="423"/>
      <c r="V20" s="793"/>
      <c r="W20" s="793"/>
      <c r="X20" s="794"/>
      <c r="Y20" s="409"/>
      <c r="Z20" s="403"/>
    </row>
    <row r="21" spans="1:26" ht="15">
      <c r="A21" s="403"/>
      <c r="B21" s="940"/>
      <c r="C21" s="832"/>
      <c r="D21" s="755"/>
      <c r="E21" s="755"/>
      <c r="F21" s="755"/>
      <c r="G21" s="755"/>
      <c r="H21" s="775">
        <v>1</v>
      </c>
      <c r="I21" s="776"/>
      <c r="J21" s="427" t="s">
        <v>220</v>
      </c>
      <c r="K21" s="777">
        <v>3</v>
      </c>
      <c r="L21" s="777"/>
      <c r="M21" s="426" t="s">
        <v>217</v>
      </c>
      <c r="N21" s="779">
        <v>12</v>
      </c>
      <c r="O21" s="779"/>
      <c r="P21" s="428"/>
      <c r="Q21" s="428"/>
      <c r="R21" s="428"/>
      <c r="S21" s="428"/>
      <c r="T21" s="428"/>
      <c r="U21" s="429"/>
      <c r="V21" s="795"/>
      <c r="W21" s="795"/>
      <c r="X21" s="796"/>
      <c r="Y21" s="409"/>
      <c r="Z21" s="403"/>
    </row>
    <row r="22" spans="1:26" ht="15">
      <c r="A22" s="403"/>
      <c r="B22" s="413"/>
      <c r="C22" s="781" t="s">
        <v>221</v>
      </c>
      <c r="D22" s="746"/>
      <c r="E22" s="746"/>
      <c r="F22" s="746"/>
      <c r="G22" s="746"/>
      <c r="H22" s="746"/>
      <c r="I22" s="746"/>
      <c r="J22" s="746"/>
      <c r="K22" s="746"/>
      <c r="L22" s="746"/>
      <c r="M22" s="746"/>
      <c r="N22" s="746"/>
      <c r="O22" s="746"/>
      <c r="P22" s="746"/>
      <c r="Q22" s="746"/>
      <c r="R22" s="746"/>
      <c r="S22" s="746"/>
      <c r="T22" s="746"/>
      <c r="U22" s="746"/>
      <c r="V22" s="782">
        <f>SUM(V16:X21)</f>
        <v>0.1111111111111111</v>
      </c>
      <c r="W22" s="744"/>
      <c r="X22" s="744"/>
      <c r="Y22" s="409"/>
      <c r="Z22" s="403"/>
    </row>
    <row r="23" spans="1:26" ht="18.75" customHeight="1">
      <c r="A23" s="403"/>
      <c r="B23" s="398" t="s">
        <v>199</v>
      </c>
      <c r="C23" s="783" t="s">
        <v>222</v>
      </c>
      <c r="D23" s="768"/>
      <c r="E23" s="768"/>
      <c r="F23" s="768"/>
      <c r="G23" s="768"/>
      <c r="H23" s="768"/>
      <c r="I23" s="768"/>
      <c r="J23" s="768"/>
      <c r="K23" s="768"/>
      <c r="L23" s="768"/>
      <c r="M23" s="768"/>
      <c r="N23" s="768"/>
      <c r="O23" s="768"/>
      <c r="P23" s="768"/>
      <c r="Q23" s="784">
        <f>V13</f>
        <v>0.3680000000000001</v>
      </c>
      <c r="R23" s="785"/>
      <c r="S23" s="431" t="s">
        <v>223</v>
      </c>
      <c r="T23" s="786">
        <f>V22</f>
        <v>0.1111111111111111</v>
      </c>
      <c r="U23" s="787"/>
      <c r="V23" s="788">
        <f>Q23*T23</f>
        <v>4.0888888888888898E-2</v>
      </c>
      <c r="W23" s="789"/>
      <c r="X23" s="790"/>
      <c r="Y23" s="409"/>
      <c r="Z23" s="403"/>
    </row>
    <row r="24" spans="1:26" ht="21.75" customHeight="1">
      <c r="A24" s="403"/>
      <c r="B24" s="397" t="s">
        <v>201</v>
      </c>
      <c r="C24" s="433" t="s">
        <v>224</v>
      </c>
      <c r="D24" s="434"/>
      <c r="E24" s="434"/>
      <c r="F24" s="434"/>
      <c r="G24" s="434"/>
      <c r="H24" s="434"/>
      <c r="I24" s="434"/>
      <c r="J24" s="434"/>
      <c r="K24" s="434"/>
      <c r="L24" s="434"/>
      <c r="M24" s="434"/>
      <c r="N24" s="434"/>
      <c r="O24" s="434"/>
      <c r="P24" s="434"/>
      <c r="Q24" s="430">
        <f>8%*40%</f>
        <v>3.2000000000000001E-2</v>
      </c>
      <c r="R24" s="431"/>
      <c r="S24" s="431" t="s">
        <v>223</v>
      </c>
      <c r="T24" s="432">
        <f>V22</f>
        <v>0.1111111111111111</v>
      </c>
      <c r="U24" s="435"/>
      <c r="V24" s="788">
        <f>Q24*T24</f>
        <v>3.5555555555555553E-3</v>
      </c>
      <c r="W24" s="789"/>
      <c r="X24" s="790"/>
      <c r="Y24" s="409"/>
      <c r="Z24" s="403"/>
    </row>
    <row r="25" spans="1:26" ht="21.75" customHeight="1">
      <c r="A25" s="403"/>
      <c r="B25" s="403"/>
      <c r="C25" s="797" t="s">
        <v>225</v>
      </c>
      <c r="D25" s="798"/>
      <c r="E25" s="798"/>
      <c r="F25" s="798"/>
      <c r="G25" s="798"/>
      <c r="H25" s="798"/>
      <c r="I25" s="798"/>
      <c r="J25" s="798"/>
      <c r="K25" s="798"/>
      <c r="L25" s="798"/>
      <c r="M25" s="798"/>
      <c r="N25" s="798"/>
      <c r="O25" s="798"/>
      <c r="P25" s="798"/>
      <c r="Q25" s="798"/>
      <c r="R25" s="798"/>
      <c r="S25" s="798"/>
      <c r="T25" s="798"/>
      <c r="U25" s="798"/>
      <c r="V25" s="799">
        <f>SUM(V22:X24)</f>
        <v>0.15555555555555556</v>
      </c>
      <c r="W25" s="766"/>
      <c r="X25" s="766"/>
      <c r="Y25" s="409"/>
      <c r="Z25" s="403"/>
    </row>
    <row r="26" spans="1:26">
      <c r="A26" s="403"/>
      <c r="B26" s="403"/>
      <c r="C26" s="436"/>
      <c r="D26" s="437"/>
      <c r="E26" s="437"/>
      <c r="F26" s="437"/>
      <c r="G26" s="437"/>
      <c r="H26" s="437"/>
      <c r="I26" s="437"/>
      <c r="J26" s="437"/>
      <c r="K26" s="437"/>
      <c r="L26" s="437"/>
      <c r="M26" s="437"/>
      <c r="N26" s="437"/>
      <c r="O26" s="437"/>
      <c r="P26" s="437"/>
      <c r="Q26" s="437"/>
      <c r="R26" s="437"/>
      <c r="S26" s="437"/>
      <c r="T26" s="437"/>
      <c r="U26" s="437"/>
      <c r="V26" s="438"/>
      <c r="W26" s="439"/>
      <c r="X26" s="440"/>
      <c r="Y26" s="409"/>
      <c r="Z26" s="403"/>
    </row>
    <row r="27" spans="1:26" ht="24" customHeight="1">
      <c r="A27" s="403"/>
      <c r="B27" s="403"/>
      <c r="C27" s="769" t="s">
        <v>226</v>
      </c>
      <c r="D27" s="770"/>
      <c r="E27" s="770"/>
      <c r="F27" s="770"/>
      <c r="G27" s="770"/>
      <c r="H27" s="770"/>
      <c r="I27" s="770"/>
      <c r="J27" s="770"/>
      <c r="K27" s="770"/>
      <c r="L27" s="770"/>
      <c r="M27" s="770"/>
      <c r="N27" s="770"/>
      <c r="O27" s="770"/>
      <c r="P27" s="770"/>
      <c r="Q27" s="770"/>
      <c r="R27" s="770"/>
      <c r="S27" s="770"/>
      <c r="T27" s="770"/>
      <c r="U27" s="770"/>
      <c r="V27" s="770"/>
      <c r="W27" s="770"/>
      <c r="X27" s="771"/>
      <c r="Y27" s="409"/>
      <c r="Z27" s="403"/>
    </row>
    <row r="28" spans="1:26" ht="71.25" customHeight="1">
      <c r="A28" s="403"/>
      <c r="B28" s="403"/>
      <c r="C28" s="772" t="str">
        <f>CONCATENATE("O salário referente ao período de licença maternidade é coberto pela previdência social, inclusive a gratificação natalina respectiva (13º salário – art. 86 da IN RFB Nº 971/09)",", de modo que o salário do substituto e o décimo terceiro respectivo já consta na planilha de custos."," Contudo, a previdência social não cobre a remuneração de férias proporcional ao período da licença. Estima-se que ",K30*100,"% das empregadas se afastam por licença maternidade por ano.")</f>
        <v>O salário referente ao período de licença maternidade é coberto pela previdência social, inclusive a gratificação natalina respectiva (13º salário – art. 86 da IN RFB Nº 971/09), de modo que o salário do substituto e o décimo terceiro respectivo já consta na planilha de custos. Contudo, a previdência social não cobre a remuneração de férias proporcional ao período da licença. Estima-se que 2% das empregadas se afastam por licença maternidade por ano.</v>
      </c>
      <c r="D28" s="773"/>
      <c r="E28" s="773"/>
      <c r="F28" s="773"/>
      <c r="G28" s="773"/>
      <c r="H28" s="773"/>
      <c r="I28" s="773"/>
      <c r="J28" s="773"/>
      <c r="K28" s="773"/>
      <c r="L28" s="773"/>
      <c r="M28" s="773"/>
      <c r="N28" s="773"/>
      <c r="O28" s="773"/>
      <c r="P28" s="773"/>
      <c r="Q28" s="773"/>
      <c r="R28" s="773"/>
      <c r="S28" s="773"/>
      <c r="T28" s="773"/>
      <c r="U28" s="773"/>
      <c r="V28" s="773"/>
      <c r="W28" s="773"/>
      <c r="X28" s="774"/>
      <c r="Y28" s="409"/>
      <c r="Z28" s="403"/>
    </row>
    <row r="29" spans="1:26" ht="15">
      <c r="A29" s="403"/>
      <c r="B29" s="942" t="s">
        <v>195</v>
      </c>
      <c r="C29" s="772" t="s">
        <v>227</v>
      </c>
      <c r="D29" s="808"/>
      <c r="E29" s="808"/>
      <c r="F29" s="808"/>
      <c r="G29" s="809"/>
      <c r="H29" s="800" t="s">
        <v>228</v>
      </c>
      <c r="I29" s="801"/>
      <c r="J29" s="801"/>
      <c r="K29" s="801"/>
      <c r="L29" s="801"/>
      <c r="M29" s="801"/>
      <c r="N29" s="801"/>
      <c r="O29" s="801"/>
      <c r="P29" s="801"/>
      <c r="Q29" s="801"/>
      <c r="R29" s="801"/>
      <c r="S29" s="801"/>
      <c r="T29" s="801"/>
      <c r="U29" s="802"/>
      <c r="V29" s="791">
        <f>H30*K30*N30</f>
        <v>7.407407407407407E-4</v>
      </c>
      <c r="W29" s="791"/>
      <c r="X29" s="792"/>
      <c r="Y29" s="409"/>
      <c r="Z29" s="403"/>
    </row>
    <row r="30" spans="1:26" ht="21" customHeight="1">
      <c r="A30" s="403"/>
      <c r="B30" s="942"/>
      <c r="C30" s="810"/>
      <c r="D30" s="811"/>
      <c r="E30" s="811"/>
      <c r="F30" s="811"/>
      <c r="G30" s="812"/>
      <c r="H30" s="803">
        <f>(1+1/3)*1/12</f>
        <v>0.1111111111111111</v>
      </c>
      <c r="I30" s="804"/>
      <c r="J30" s="427" t="s">
        <v>223</v>
      </c>
      <c r="K30" s="805">
        <v>0.02</v>
      </c>
      <c r="L30" s="805"/>
      <c r="M30" s="417" t="s">
        <v>223</v>
      </c>
      <c r="N30" s="806">
        <f>4/12</f>
        <v>0.33333333333333331</v>
      </c>
      <c r="O30" s="806"/>
      <c r="P30" s="427"/>
      <c r="Q30" s="807"/>
      <c r="R30" s="807"/>
      <c r="S30" s="444"/>
      <c r="T30" s="444"/>
      <c r="U30" s="445"/>
      <c r="V30" s="795"/>
      <c r="W30" s="795"/>
      <c r="X30" s="796"/>
      <c r="Y30" s="409"/>
      <c r="Z30" s="403"/>
    </row>
    <row r="31" spans="1:26" ht="21" customHeight="1">
      <c r="A31" s="403"/>
      <c r="B31" s="441" t="s">
        <v>197</v>
      </c>
      <c r="C31" s="783" t="s">
        <v>229</v>
      </c>
      <c r="D31" s="768"/>
      <c r="E31" s="768"/>
      <c r="F31" s="768"/>
      <c r="G31" s="768"/>
      <c r="H31" s="768"/>
      <c r="I31" s="768"/>
      <c r="J31" s="768"/>
      <c r="K31" s="768"/>
      <c r="L31" s="768"/>
      <c r="M31" s="768"/>
      <c r="N31" s="768"/>
      <c r="O31" s="768"/>
      <c r="P31" s="768"/>
      <c r="Q31" s="446"/>
      <c r="R31" s="446"/>
      <c r="S31" s="447"/>
      <c r="T31" s="447"/>
      <c r="U31" s="448"/>
      <c r="V31" s="813">
        <f>(V13*V29)</f>
        <v>2.7259259259259267E-4</v>
      </c>
      <c r="W31" s="814"/>
      <c r="X31" s="814"/>
      <c r="Y31" s="409"/>
      <c r="Z31" s="403"/>
    </row>
    <row r="32" spans="1:26" ht="20.25" customHeight="1">
      <c r="A32" s="403"/>
      <c r="B32" s="403"/>
      <c r="C32" s="797" t="s">
        <v>230</v>
      </c>
      <c r="D32" s="798"/>
      <c r="E32" s="798"/>
      <c r="F32" s="798"/>
      <c r="G32" s="798"/>
      <c r="H32" s="798"/>
      <c r="I32" s="798"/>
      <c r="J32" s="798"/>
      <c r="K32" s="798"/>
      <c r="L32" s="798"/>
      <c r="M32" s="798"/>
      <c r="N32" s="798"/>
      <c r="O32" s="798"/>
      <c r="P32" s="798"/>
      <c r="Q32" s="798"/>
      <c r="R32" s="798"/>
      <c r="S32" s="798"/>
      <c r="T32" s="798"/>
      <c r="U32" s="798"/>
      <c r="V32" s="799">
        <f>SUM(V29:X31)</f>
        <v>1.0133333333333333E-3</v>
      </c>
      <c r="W32" s="766"/>
      <c r="X32" s="766"/>
      <c r="Y32" s="409"/>
      <c r="Z32" s="403"/>
    </row>
    <row r="33" spans="1:34" ht="20.25" customHeight="1">
      <c r="A33" s="403"/>
      <c r="B33" s="403"/>
      <c r="C33" s="433" t="s">
        <v>231</v>
      </c>
      <c r="D33" s="437"/>
      <c r="E33" s="437"/>
      <c r="F33" s="437"/>
      <c r="G33" s="437"/>
      <c r="H33" s="449"/>
      <c r="I33" s="449"/>
      <c r="J33" s="449"/>
      <c r="K33" s="449"/>
      <c r="L33" s="449"/>
      <c r="M33" s="449"/>
      <c r="N33" s="449"/>
      <c r="O33" s="449"/>
      <c r="P33" s="449"/>
      <c r="Q33" s="449"/>
      <c r="R33" s="449"/>
      <c r="S33" s="449"/>
      <c r="T33" s="449"/>
      <c r="U33" s="449"/>
      <c r="V33" s="438"/>
      <c r="W33" s="439"/>
      <c r="X33" s="440"/>
      <c r="Y33" s="409"/>
      <c r="Z33" s="403"/>
    </row>
    <row r="34" spans="1:34" s="188" customFormat="1" ht="20.25" customHeight="1">
      <c r="A34" s="403"/>
      <c r="B34" s="403"/>
      <c r="C34" s="815" t="s">
        <v>232</v>
      </c>
      <c r="D34" s="816"/>
      <c r="E34" s="816"/>
      <c r="F34" s="816"/>
      <c r="G34" s="816"/>
      <c r="H34" s="817"/>
      <c r="I34" s="817"/>
      <c r="J34" s="817"/>
      <c r="K34" s="817"/>
      <c r="L34" s="817"/>
      <c r="M34" s="817"/>
      <c r="N34" s="817"/>
      <c r="O34" s="817"/>
      <c r="P34" s="817"/>
      <c r="Q34" s="817"/>
      <c r="R34" s="817"/>
      <c r="S34" s="817"/>
      <c r="T34" s="817"/>
      <c r="U34" s="817"/>
      <c r="V34" s="816"/>
      <c r="W34" s="816"/>
      <c r="X34" s="818"/>
      <c r="Y34" s="409"/>
      <c r="Z34" s="403"/>
      <c r="AA34" s="189"/>
      <c r="AB34" s="189"/>
      <c r="AC34" s="189"/>
      <c r="AD34" s="189"/>
      <c r="AE34" s="189"/>
      <c r="AF34" s="189"/>
      <c r="AG34" s="189"/>
      <c r="AH34" s="189"/>
    </row>
    <row r="35" spans="1:34" s="188" customFormat="1">
      <c r="A35" s="403"/>
      <c r="B35" s="942" t="s">
        <v>195</v>
      </c>
      <c r="C35" s="830" t="s">
        <v>233</v>
      </c>
      <c r="D35" s="831"/>
      <c r="E35" s="831"/>
      <c r="F35" s="831"/>
      <c r="G35" s="831"/>
      <c r="H35" s="772" t="str">
        <f>CONCATENATE("Trata-se de valor devido ao empregado no caso de o empregador rescindir o contrato sem justo motivo e sem lhe conceder aviso prévio, conforme disposto no § 1º do art. 487 da CLT.","Estima-se que ",M40*100," % do pessoal ao ano é demitido pelo empregador antes do término do contrato de trabalho.","Fundamento Legal: Artigos 7º, XXI, da CF/88 e Arts. 477, 487 e 491 da CLT.")</f>
        <v>Trata-se de valor devido ao empregado no caso de o empregador rescindir o contrato sem justo motivo e sem lhe conceder aviso prévio, conforme disposto no § 1º do art. 487 da CLT.Estima-se que 3,5 % do pessoal ao ano é demitido pelo empregador antes do término do contrato de trabalho.Fundamento Legal: Artigos 7º, XXI, da CF/88 e Arts. 477, 487 e 491 da CLT.</v>
      </c>
      <c r="I35" s="773"/>
      <c r="J35" s="773"/>
      <c r="K35" s="773"/>
      <c r="L35" s="773"/>
      <c r="M35" s="773"/>
      <c r="N35" s="773"/>
      <c r="O35" s="773"/>
      <c r="P35" s="773"/>
      <c r="Q35" s="773"/>
      <c r="R35" s="773"/>
      <c r="S35" s="773"/>
      <c r="T35" s="773"/>
      <c r="U35" s="774"/>
      <c r="V35" s="791">
        <f>(I40/K40*M40)</f>
        <v>2.9166666666666668E-3</v>
      </c>
      <c r="W35" s="791"/>
      <c r="X35" s="792"/>
      <c r="Y35" s="409"/>
      <c r="Z35" s="403"/>
      <c r="AA35" s="189"/>
      <c r="AB35" s="189"/>
      <c r="AC35" s="189"/>
      <c r="AD35" s="189"/>
      <c r="AE35" s="189"/>
      <c r="AF35" s="189"/>
      <c r="AG35" s="189"/>
      <c r="AH35" s="189"/>
    </row>
    <row r="36" spans="1:34" s="188" customFormat="1">
      <c r="A36" s="403"/>
      <c r="B36" s="942"/>
      <c r="C36" s="830"/>
      <c r="D36" s="831"/>
      <c r="E36" s="831"/>
      <c r="F36" s="831"/>
      <c r="G36" s="831"/>
      <c r="H36" s="833"/>
      <c r="I36" s="834"/>
      <c r="J36" s="834"/>
      <c r="K36" s="834"/>
      <c r="L36" s="834"/>
      <c r="M36" s="834"/>
      <c r="N36" s="834"/>
      <c r="O36" s="834"/>
      <c r="P36" s="834"/>
      <c r="Q36" s="834"/>
      <c r="R36" s="834"/>
      <c r="S36" s="834"/>
      <c r="T36" s="834"/>
      <c r="U36" s="835"/>
      <c r="V36" s="793"/>
      <c r="W36" s="793"/>
      <c r="X36" s="794"/>
      <c r="Y36" s="409"/>
      <c r="Z36" s="403"/>
      <c r="AA36" s="189"/>
      <c r="AB36" s="189"/>
      <c r="AC36" s="189"/>
      <c r="AD36" s="189"/>
      <c r="AE36" s="189"/>
      <c r="AF36" s="189"/>
      <c r="AG36" s="189"/>
      <c r="AH36" s="189"/>
    </row>
    <row r="37" spans="1:34" s="188" customFormat="1">
      <c r="A37" s="403"/>
      <c r="B37" s="942"/>
      <c r="C37" s="830"/>
      <c r="D37" s="831"/>
      <c r="E37" s="831"/>
      <c r="F37" s="831"/>
      <c r="G37" s="831"/>
      <c r="H37" s="833"/>
      <c r="I37" s="834"/>
      <c r="J37" s="834"/>
      <c r="K37" s="834"/>
      <c r="L37" s="834"/>
      <c r="M37" s="834"/>
      <c r="N37" s="834"/>
      <c r="O37" s="834"/>
      <c r="P37" s="834"/>
      <c r="Q37" s="834"/>
      <c r="R37" s="834"/>
      <c r="S37" s="834"/>
      <c r="T37" s="834"/>
      <c r="U37" s="835"/>
      <c r="V37" s="793"/>
      <c r="W37" s="793"/>
      <c r="X37" s="794"/>
      <c r="Y37" s="409"/>
      <c r="Z37" s="403"/>
      <c r="AA37" s="189"/>
      <c r="AB37" s="189"/>
      <c r="AC37" s="189"/>
      <c r="AD37" s="189"/>
      <c r="AE37" s="189"/>
      <c r="AF37" s="189"/>
      <c r="AG37" s="189"/>
      <c r="AH37" s="189"/>
    </row>
    <row r="38" spans="1:34" s="188" customFormat="1">
      <c r="A38" s="403"/>
      <c r="B38" s="942"/>
      <c r="C38" s="830"/>
      <c r="D38" s="831"/>
      <c r="E38" s="831"/>
      <c r="F38" s="831"/>
      <c r="G38" s="831"/>
      <c r="H38" s="833"/>
      <c r="I38" s="834"/>
      <c r="J38" s="834"/>
      <c r="K38" s="834"/>
      <c r="L38" s="834"/>
      <c r="M38" s="834"/>
      <c r="N38" s="834"/>
      <c r="O38" s="834"/>
      <c r="P38" s="834"/>
      <c r="Q38" s="834"/>
      <c r="R38" s="834"/>
      <c r="S38" s="834"/>
      <c r="T38" s="834"/>
      <c r="U38" s="835"/>
      <c r="V38" s="793"/>
      <c r="W38" s="793"/>
      <c r="X38" s="794"/>
      <c r="Y38" s="409"/>
      <c r="Z38" s="403"/>
      <c r="AA38" s="189"/>
      <c r="AB38" s="189"/>
      <c r="AC38" s="189"/>
      <c r="AD38" s="189"/>
      <c r="AE38" s="189"/>
      <c r="AF38" s="189"/>
      <c r="AG38" s="189"/>
      <c r="AH38" s="189"/>
    </row>
    <row r="39" spans="1:34" s="188" customFormat="1" ht="27.75" customHeight="1">
      <c r="A39" s="403"/>
      <c r="B39" s="942"/>
      <c r="C39" s="830"/>
      <c r="D39" s="831"/>
      <c r="E39" s="831"/>
      <c r="F39" s="831"/>
      <c r="G39" s="831"/>
      <c r="H39" s="833"/>
      <c r="I39" s="834"/>
      <c r="J39" s="834"/>
      <c r="K39" s="834"/>
      <c r="L39" s="834"/>
      <c r="M39" s="834"/>
      <c r="N39" s="834"/>
      <c r="O39" s="834"/>
      <c r="P39" s="834"/>
      <c r="Q39" s="834"/>
      <c r="R39" s="834"/>
      <c r="S39" s="834"/>
      <c r="T39" s="834"/>
      <c r="U39" s="835"/>
      <c r="V39" s="793"/>
      <c r="W39" s="793"/>
      <c r="X39" s="794"/>
      <c r="Y39" s="409"/>
      <c r="Z39" s="403"/>
      <c r="AA39" s="189"/>
      <c r="AB39" s="189"/>
      <c r="AC39" s="189"/>
      <c r="AD39" s="189"/>
      <c r="AE39" s="189"/>
      <c r="AF39" s="189"/>
      <c r="AG39" s="189"/>
      <c r="AH39" s="189"/>
    </row>
    <row r="40" spans="1:34" s="188" customFormat="1" ht="27.75" customHeight="1">
      <c r="A40" s="403"/>
      <c r="B40" s="942"/>
      <c r="C40" s="832"/>
      <c r="D40" s="755"/>
      <c r="E40" s="755"/>
      <c r="F40" s="755"/>
      <c r="G40" s="755"/>
      <c r="H40" s="450" t="s">
        <v>234</v>
      </c>
      <c r="I40" s="424">
        <v>1</v>
      </c>
      <c r="J40" s="427" t="s">
        <v>220</v>
      </c>
      <c r="K40" s="425">
        <v>12</v>
      </c>
      <c r="L40" s="427" t="s">
        <v>223</v>
      </c>
      <c r="M40" s="819">
        <v>3.5000000000000003E-2</v>
      </c>
      <c r="N40" s="820"/>
      <c r="O40" s="427" t="s">
        <v>235</v>
      </c>
      <c r="P40" s="417"/>
      <c r="Q40" s="417"/>
      <c r="R40" s="417"/>
      <c r="S40" s="417"/>
      <c r="T40" s="418"/>
      <c r="U40" s="419"/>
      <c r="V40" s="795"/>
      <c r="W40" s="795"/>
      <c r="X40" s="796"/>
      <c r="Y40" s="409"/>
      <c r="Z40" s="403"/>
      <c r="AA40" s="189"/>
      <c r="AB40" s="189"/>
      <c r="AC40" s="189"/>
      <c r="AD40" s="189"/>
      <c r="AE40" s="189"/>
      <c r="AF40" s="189"/>
      <c r="AG40" s="189"/>
      <c r="AH40" s="189"/>
    </row>
    <row r="41" spans="1:34" s="188" customFormat="1" ht="24.75" customHeight="1">
      <c r="A41" s="403"/>
      <c r="B41" s="441" t="s">
        <v>197</v>
      </c>
      <c r="C41" s="821" t="s">
        <v>236</v>
      </c>
      <c r="D41" s="822"/>
      <c r="E41" s="822"/>
      <c r="F41" s="822"/>
      <c r="G41" s="823"/>
      <c r="H41" s="824">
        <f>1/12</f>
        <v>8.3333333333333329E-2</v>
      </c>
      <c r="I41" s="825"/>
      <c r="J41" s="427" t="s">
        <v>237</v>
      </c>
      <c r="K41" s="825">
        <f>(1+1/3)/12</f>
        <v>0.1111111111111111</v>
      </c>
      <c r="L41" s="825"/>
      <c r="M41" s="826" t="s">
        <v>223</v>
      </c>
      <c r="N41" s="755"/>
      <c r="O41" s="825">
        <f>V35</f>
        <v>2.9166666666666668E-3</v>
      </c>
      <c r="P41" s="825"/>
      <c r="Q41" s="417"/>
      <c r="R41" s="417"/>
      <c r="S41" s="417"/>
      <c r="T41" s="418"/>
      <c r="U41" s="419"/>
      <c r="V41" s="827">
        <f>(H41+K41)*O41</f>
        <v>5.6712962962962956E-4</v>
      </c>
      <c r="W41" s="828"/>
      <c r="X41" s="829"/>
      <c r="Y41" s="409"/>
      <c r="Z41" s="403"/>
      <c r="AA41" s="189"/>
      <c r="AB41" s="189"/>
      <c r="AC41" s="189"/>
      <c r="AD41" s="189"/>
      <c r="AE41" s="189"/>
      <c r="AF41" s="189"/>
      <c r="AG41" s="189"/>
      <c r="AH41" s="189"/>
    </row>
    <row r="42" spans="1:34" s="188" customFormat="1">
      <c r="A42" s="403"/>
      <c r="B42" s="451"/>
      <c r="C42" s="836" t="s">
        <v>221</v>
      </c>
      <c r="D42" s="837"/>
      <c r="E42" s="837"/>
      <c r="F42" s="837"/>
      <c r="G42" s="837"/>
      <c r="H42" s="837"/>
      <c r="I42" s="837"/>
      <c r="J42" s="837"/>
      <c r="K42" s="837"/>
      <c r="L42" s="837"/>
      <c r="M42" s="837"/>
      <c r="N42" s="837"/>
      <c r="O42" s="837"/>
      <c r="P42" s="837"/>
      <c r="Q42" s="837"/>
      <c r="R42" s="837"/>
      <c r="S42" s="837"/>
      <c r="T42" s="837"/>
      <c r="U42" s="838"/>
      <c r="V42" s="839">
        <f>SUM(V35:X41)</f>
        <v>3.4837962962962965E-3</v>
      </c>
      <c r="W42" s="840"/>
      <c r="X42" s="841"/>
      <c r="Y42" s="409"/>
      <c r="Z42" s="403"/>
      <c r="AA42" s="189"/>
      <c r="AB42" s="189"/>
      <c r="AC42" s="189"/>
      <c r="AD42" s="189"/>
      <c r="AE42" s="189"/>
      <c r="AF42" s="189"/>
      <c r="AG42" s="189"/>
      <c r="AH42" s="189"/>
    </row>
    <row r="43" spans="1:34" s="188" customFormat="1" ht="68.25" customHeight="1">
      <c r="A43" s="403"/>
      <c r="B43" s="403"/>
      <c r="C43" s="842" t="s">
        <v>238</v>
      </c>
      <c r="D43" s="843"/>
      <c r="E43" s="843"/>
      <c r="F43" s="843"/>
      <c r="G43" s="843"/>
      <c r="H43" s="843"/>
      <c r="I43" s="843"/>
      <c r="J43" s="843"/>
      <c r="K43" s="843"/>
      <c r="L43" s="843"/>
      <c r="M43" s="843"/>
      <c r="N43" s="843"/>
      <c r="O43" s="843"/>
      <c r="P43" s="843"/>
      <c r="Q43" s="843"/>
      <c r="R43" s="843"/>
      <c r="S43" s="843"/>
      <c r="T43" s="843"/>
      <c r="U43" s="843"/>
      <c r="V43" s="843"/>
      <c r="W43" s="843"/>
      <c r="X43" s="844"/>
      <c r="Y43" s="409"/>
      <c r="Z43" s="403"/>
      <c r="AA43" s="189"/>
      <c r="AB43" s="189"/>
      <c r="AC43" s="189"/>
      <c r="AD43" s="189"/>
      <c r="AE43" s="189"/>
      <c r="AF43" s="189"/>
      <c r="AG43" s="189"/>
      <c r="AH43" s="189"/>
    </row>
    <row r="44" spans="1:34" s="188" customFormat="1" ht="18.75" customHeight="1">
      <c r="A44" s="403"/>
      <c r="B44" s="441" t="s">
        <v>199</v>
      </c>
      <c r="C44" s="433" t="s">
        <v>239</v>
      </c>
      <c r="D44" s="434"/>
      <c r="E44" s="434"/>
      <c r="F44" s="434"/>
      <c r="G44" s="434"/>
      <c r="H44" s="417"/>
      <c r="I44" s="417"/>
      <c r="J44" s="417"/>
      <c r="K44" s="417"/>
      <c r="L44" s="417"/>
      <c r="M44" s="417"/>
      <c r="N44" s="417"/>
      <c r="O44" s="452">
        <f>V13-V9</f>
        <v>0.28800000000000009</v>
      </c>
      <c r="P44" s="417" t="s">
        <v>223</v>
      </c>
      <c r="Q44" s="819">
        <f>1/12</f>
        <v>8.3333333333333329E-2</v>
      </c>
      <c r="R44" s="777"/>
      <c r="S44" s="427" t="s">
        <v>223</v>
      </c>
      <c r="T44" s="845">
        <f>V35</f>
        <v>2.9166666666666668E-3</v>
      </c>
      <c r="U44" s="846"/>
      <c r="V44" s="847">
        <f>(Q44*T44*O44)</f>
        <v>7.0000000000000021E-5</v>
      </c>
      <c r="W44" s="847"/>
      <c r="X44" s="848"/>
      <c r="Y44" s="409"/>
      <c r="Z44" s="403"/>
      <c r="AA44" s="189"/>
      <c r="AB44" s="189"/>
      <c r="AC44" s="189"/>
      <c r="AD44" s="189"/>
      <c r="AE44" s="189"/>
      <c r="AF44" s="189"/>
      <c r="AG44" s="189"/>
      <c r="AH44" s="189"/>
    </row>
    <row r="45" spans="1:34" s="188" customFormat="1" ht="30" customHeight="1">
      <c r="A45" s="403"/>
      <c r="B45" s="441" t="s">
        <v>201</v>
      </c>
      <c r="C45" s="849" t="s">
        <v>240</v>
      </c>
      <c r="D45" s="850"/>
      <c r="E45" s="850"/>
      <c r="F45" s="850"/>
      <c r="G45" s="851"/>
      <c r="H45" s="403"/>
      <c r="I45" s="403"/>
      <c r="J45" s="442"/>
      <c r="K45" s="852">
        <f>V9</f>
        <v>0.08</v>
      </c>
      <c r="L45" s="853"/>
      <c r="M45" s="442" t="s">
        <v>223</v>
      </c>
      <c r="N45" s="854">
        <f>V42</f>
        <v>3.4837962962962965E-3</v>
      </c>
      <c r="O45" s="854"/>
      <c r="P45" s="442"/>
      <c r="Q45" s="442"/>
      <c r="R45" s="442"/>
      <c r="S45" s="442"/>
      <c r="T45" s="442"/>
      <c r="U45" s="443"/>
      <c r="V45" s="855">
        <f>(K45*N45)</f>
        <v>2.787037037037037E-4</v>
      </c>
      <c r="W45" s="856"/>
      <c r="X45" s="857"/>
      <c r="Y45" s="409"/>
      <c r="Z45" s="403"/>
      <c r="AA45" s="189"/>
      <c r="AB45" s="189"/>
      <c r="AC45" s="189"/>
      <c r="AD45" s="189"/>
      <c r="AE45" s="189"/>
      <c r="AF45" s="189"/>
      <c r="AG45" s="189"/>
      <c r="AH45" s="189"/>
    </row>
    <row r="46" spans="1:34" s="188" customFormat="1" ht="27.75" customHeight="1">
      <c r="A46" s="403"/>
      <c r="B46" s="942" t="s">
        <v>203</v>
      </c>
      <c r="C46" s="866" t="s">
        <v>241</v>
      </c>
      <c r="D46" s="866"/>
      <c r="E46" s="866"/>
      <c r="F46" s="866"/>
      <c r="G46" s="866"/>
      <c r="H46" s="876" t="s">
        <v>242</v>
      </c>
      <c r="I46" s="808"/>
      <c r="J46" s="808"/>
      <c r="K46" s="808"/>
      <c r="L46" s="808"/>
      <c r="M46" s="808"/>
      <c r="N46" s="808"/>
      <c r="O46" s="808"/>
      <c r="P46" s="808"/>
      <c r="Q46" s="808"/>
      <c r="R46" s="808"/>
      <c r="S46" s="808"/>
      <c r="T46" s="808"/>
      <c r="U46" s="809"/>
      <c r="V46" s="873">
        <f>H50*K50</f>
        <v>3.2000000000000001E-2</v>
      </c>
      <c r="W46" s="791"/>
      <c r="X46" s="792"/>
      <c r="Y46" s="409"/>
      <c r="Z46" s="403"/>
      <c r="AA46" s="189"/>
      <c r="AB46" s="189"/>
      <c r="AC46" s="189"/>
      <c r="AD46" s="189"/>
      <c r="AE46" s="189"/>
      <c r="AF46" s="189"/>
      <c r="AG46" s="189"/>
      <c r="AH46" s="189"/>
    </row>
    <row r="47" spans="1:34" s="188" customFormat="1">
      <c r="A47" s="403"/>
      <c r="B47" s="942"/>
      <c r="C47" s="866"/>
      <c r="D47" s="866"/>
      <c r="E47" s="866"/>
      <c r="F47" s="866"/>
      <c r="G47" s="866"/>
      <c r="H47" s="877"/>
      <c r="I47" s="878"/>
      <c r="J47" s="878"/>
      <c r="K47" s="878"/>
      <c r="L47" s="878"/>
      <c r="M47" s="878"/>
      <c r="N47" s="878"/>
      <c r="O47" s="878"/>
      <c r="P47" s="878"/>
      <c r="Q47" s="878"/>
      <c r="R47" s="878"/>
      <c r="S47" s="878"/>
      <c r="T47" s="878"/>
      <c r="U47" s="879"/>
      <c r="V47" s="874"/>
      <c r="W47" s="793"/>
      <c r="X47" s="794"/>
      <c r="Y47" s="409"/>
      <c r="Z47" s="403"/>
      <c r="AA47" s="189"/>
      <c r="AB47" s="189"/>
      <c r="AC47" s="189"/>
      <c r="AD47" s="189"/>
      <c r="AE47" s="189"/>
      <c r="AF47" s="189"/>
      <c r="AG47" s="189"/>
      <c r="AH47" s="189"/>
    </row>
    <row r="48" spans="1:34" s="188" customFormat="1">
      <c r="A48" s="403"/>
      <c r="B48" s="942"/>
      <c r="C48" s="866"/>
      <c r="D48" s="866"/>
      <c r="E48" s="866"/>
      <c r="F48" s="866"/>
      <c r="G48" s="866"/>
      <c r="H48" s="877"/>
      <c r="I48" s="878"/>
      <c r="J48" s="878"/>
      <c r="K48" s="878"/>
      <c r="L48" s="878"/>
      <c r="M48" s="878"/>
      <c r="N48" s="878"/>
      <c r="O48" s="878"/>
      <c r="P48" s="878"/>
      <c r="Q48" s="878"/>
      <c r="R48" s="878"/>
      <c r="S48" s="878"/>
      <c r="T48" s="878"/>
      <c r="U48" s="879"/>
      <c r="V48" s="874"/>
      <c r="W48" s="793"/>
      <c r="X48" s="794"/>
      <c r="Y48" s="409"/>
      <c r="Z48" s="403"/>
      <c r="AA48" s="189"/>
      <c r="AB48" s="189"/>
      <c r="AC48" s="189"/>
      <c r="AD48" s="189"/>
      <c r="AE48" s="189"/>
      <c r="AF48" s="189"/>
      <c r="AG48" s="189"/>
      <c r="AH48" s="189"/>
    </row>
    <row r="49" spans="1:34" ht="15">
      <c r="A49" s="403"/>
      <c r="B49" s="942"/>
      <c r="C49" s="866"/>
      <c r="D49" s="866"/>
      <c r="E49" s="866"/>
      <c r="F49" s="866"/>
      <c r="G49" s="866"/>
      <c r="H49" s="877"/>
      <c r="I49" s="878"/>
      <c r="J49" s="878"/>
      <c r="K49" s="878"/>
      <c r="L49" s="878"/>
      <c r="M49" s="878"/>
      <c r="N49" s="878"/>
      <c r="O49" s="878"/>
      <c r="P49" s="878"/>
      <c r="Q49" s="878"/>
      <c r="R49" s="878"/>
      <c r="S49" s="878"/>
      <c r="T49" s="878"/>
      <c r="U49" s="879"/>
      <c r="V49" s="874"/>
      <c r="W49" s="793"/>
      <c r="X49" s="794"/>
      <c r="Y49" s="409"/>
      <c r="Z49" s="403"/>
    </row>
    <row r="50" spans="1:34" ht="34.5" customHeight="1">
      <c r="A50" s="403"/>
      <c r="B50" s="942"/>
      <c r="C50" s="866"/>
      <c r="D50" s="866"/>
      <c r="E50" s="866"/>
      <c r="F50" s="866"/>
      <c r="G50" s="866"/>
      <c r="H50" s="858">
        <f>K45</f>
        <v>0.08</v>
      </c>
      <c r="I50" s="859"/>
      <c r="J50" s="453" t="s">
        <v>223</v>
      </c>
      <c r="K50" s="860">
        <v>0.4</v>
      </c>
      <c r="L50" s="860"/>
      <c r="M50" s="453"/>
      <c r="N50" s="453"/>
      <c r="O50" s="453"/>
      <c r="P50" s="453"/>
      <c r="Q50" s="453"/>
      <c r="R50" s="453"/>
      <c r="S50" s="453"/>
      <c r="T50" s="453"/>
      <c r="U50" s="454"/>
      <c r="V50" s="875"/>
      <c r="W50" s="795"/>
      <c r="X50" s="796"/>
      <c r="Y50" s="409"/>
      <c r="Z50" s="403"/>
    </row>
    <row r="51" spans="1:34" ht="27" customHeight="1">
      <c r="A51" s="403"/>
      <c r="B51" s="942" t="s">
        <v>205</v>
      </c>
      <c r="C51" s="866" t="s">
        <v>243</v>
      </c>
      <c r="D51" s="866"/>
      <c r="E51" s="866"/>
      <c r="F51" s="866"/>
      <c r="G51" s="866"/>
      <c r="H51" s="867" t="str">
        <f>CONCATENATE("Refere-se à indenização de 1 salário para os profissionais que forem demitidos 1 mês antes da data-base. Estima-se em ",N53*100," % o percentual ao ano de empregados demitidos nessa situação.")</f>
        <v>Refere-se à indenização de 1 salário para os profissionais que forem demitidos 1 mês antes da data-base. Estima-se em 1 % o percentual ao ano de empregados demitidos nessa situação.</v>
      </c>
      <c r="I51" s="868"/>
      <c r="J51" s="868"/>
      <c r="K51" s="868"/>
      <c r="L51" s="868"/>
      <c r="M51" s="868"/>
      <c r="N51" s="868"/>
      <c r="O51" s="868"/>
      <c r="P51" s="868"/>
      <c r="Q51" s="868"/>
      <c r="R51" s="868"/>
      <c r="S51" s="868"/>
      <c r="T51" s="868"/>
      <c r="U51" s="869"/>
      <c r="V51" s="873">
        <f>H53/K53*N53</f>
        <v>8.3333333333333328E-4</v>
      </c>
      <c r="W51" s="791"/>
      <c r="X51" s="792"/>
      <c r="Y51" s="409"/>
      <c r="Z51" s="403"/>
    </row>
    <row r="52" spans="1:34" ht="21" customHeight="1">
      <c r="A52" s="403"/>
      <c r="B52" s="942"/>
      <c r="C52" s="866"/>
      <c r="D52" s="866"/>
      <c r="E52" s="866"/>
      <c r="F52" s="866"/>
      <c r="G52" s="866"/>
      <c r="H52" s="870"/>
      <c r="I52" s="871"/>
      <c r="J52" s="871"/>
      <c r="K52" s="871"/>
      <c r="L52" s="871"/>
      <c r="M52" s="871"/>
      <c r="N52" s="871"/>
      <c r="O52" s="871"/>
      <c r="P52" s="871"/>
      <c r="Q52" s="871"/>
      <c r="R52" s="871"/>
      <c r="S52" s="871"/>
      <c r="T52" s="871"/>
      <c r="U52" s="872"/>
      <c r="V52" s="874"/>
      <c r="W52" s="793"/>
      <c r="X52" s="794"/>
      <c r="Y52" s="409"/>
      <c r="Z52" s="403"/>
    </row>
    <row r="53" spans="1:34" ht="30" customHeight="1">
      <c r="A53" s="403"/>
      <c r="B53" s="942"/>
      <c r="C53" s="866"/>
      <c r="D53" s="866"/>
      <c r="E53" s="866"/>
      <c r="F53" s="866"/>
      <c r="G53" s="866"/>
      <c r="H53" s="861">
        <v>1</v>
      </c>
      <c r="I53" s="862"/>
      <c r="J53" s="442" t="s">
        <v>220</v>
      </c>
      <c r="K53" s="862">
        <v>12</v>
      </c>
      <c r="L53" s="862"/>
      <c r="M53" s="442" t="s">
        <v>223</v>
      </c>
      <c r="N53" s="863">
        <v>0.01</v>
      </c>
      <c r="O53" s="863"/>
      <c r="P53" s="442"/>
      <c r="Q53" s="442"/>
      <c r="R53" s="442"/>
      <c r="S53" s="442"/>
      <c r="T53" s="442"/>
      <c r="U53" s="443"/>
      <c r="V53" s="875"/>
      <c r="W53" s="795"/>
      <c r="X53" s="796"/>
      <c r="Y53" s="409"/>
      <c r="Z53" s="403"/>
    </row>
    <row r="54" spans="1:34" ht="23.25" customHeight="1">
      <c r="A54" s="403"/>
      <c r="B54" s="403"/>
      <c r="C54" s="797" t="s">
        <v>232</v>
      </c>
      <c r="D54" s="798"/>
      <c r="E54" s="798"/>
      <c r="F54" s="798"/>
      <c r="G54" s="798"/>
      <c r="H54" s="798"/>
      <c r="I54" s="798"/>
      <c r="J54" s="798"/>
      <c r="K54" s="798"/>
      <c r="L54" s="798"/>
      <c r="M54" s="798"/>
      <c r="N54" s="798"/>
      <c r="O54" s="798"/>
      <c r="P54" s="798"/>
      <c r="Q54" s="798"/>
      <c r="R54" s="798"/>
      <c r="S54" s="798"/>
      <c r="T54" s="798"/>
      <c r="U54" s="798"/>
      <c r="V54" s="799">
        <f>SUM(V42:X53)</f>
        <v>3.6665833333333335E-2</v>
      </c>
      <c r="W54" s="864"/>
      <c r="X54" s="864"/>
      <c r="Y54" s="409"/>
      <c r="Z54" s="403"/>
    </row>
    <row r="55" spans="1:34">
      <c r="A55" s="403"/>
      <c r="B55" s="403"/>
      <c r="C55" s="436"/>
      <c r="D55" s="437"/>
      <c r="E55" s="437"/>
      <c r="F55" s="437"/>
      <c r="G55" s="437"/>
      <c r="H55" s="437"/>
      <c r="I55" s="437"/>
      <c r="J55" s="437"/>
      <c r="K55" s="437"/>
      <c r="L55" s="437"/>
      <c r="M55" s="437"/>
      <c r="N55" s="437"/>
      <c r="O55" s="437"/>
      <c r="P55" s="437"/>
      <c r="Q55" s="437"/>
      <c r="R55" s="437"/>
      <c r="S55" s="437"/>
      <c r="T55" s="437"/>
      <c r="U55" s="437"/>
      <c r="V55" s="438"/>
      <c r="W55" s="455"/>
      <c r="X55" s="456"/>
      <c r="Y55" s="409"/>
      <c r="Z55" s="403"/>
    </row>
    <row r="56" spans="1:34" ht="26.25" customHeight="1">
      <c r="A56" s="403"/>
      <c r="B56" s="403"/>
      <c r="C56" s="815" t="s">
        <v>244</v>
      </c>
      <c r="D56" s="816"/>
      <c r="E56" s="816"/>
      <c r="F56" s="816"/>
      <c r="G56" s="816"/>
      <c r="H56" s="816"/>
      <c r="I56" s="816"/>
      <c r="J56" s="816"/>
      <c r="K56" s="816"/>
      <c r="L56" s="816"/>
      <c r="M56" s="816"/>
      <c r="N56" s="816"/>
      <c r="O56" s="816"/>
      <c r="P56" s="816"/>
      <c r="Q56" s="816"/>
      <c r="R56" s="816"/>
      <c r="S56" s="816"/>
      <c r="T56" s="816"/>
      <c r="U56" s="816"/>
      <c r="V56" s="816"/>
      <c r="W56" s="816"/>
      <c r="X56" s="818"/>
      <c r="Y56" s="409"/>
      <c r="Z56" s="403"/>
    </row>
    <row r="57" spans="1:34" ht="15">
      <c r="A57" s="403"/>
      <c r="B57" s="942" t="s">
        <v>195</v>
      </c>
      <c r="C57" s="830" t="s">
        <v>245</v>
      </c>
      <c r="D57" s="831"/>
      <c r="E57" s="831"/>
      <c r="F57" s="831"/>
      <c r="G57" s="831"/>
      <c r="H57" s="772" t="s">
        <v>246</v>
      </c>
      <c r="I57" s="773"/>
      <c r="J57" s="773"/>
      <c r="K57" s="773"/>
      <c r="L57" s="773"/>
      <c r="M57" s="773"/>
      <c r="N57" s="773"/>
      <c r="O57" s="773"/>
      <c r="P57" s="773"/>
      <c r="Q57" s="773"/>
      <c r="R57" s="773"/>
      <c r="S57" s="773"/>
      <c r="T57" s="773"/>
      <c r="U57" s="774"/>
      <c r="V57" s="791">
        <f>H60/K60</f>
        <v>8.3333333333333329E-2</v>
      </c>
      <c r="W57" s="791"/>
      <c r="X57" s="792"/>
      <c r="Y57" s="409"/>
      <c r="Z57" s="403"/>
    </row>
    <row r="58" spans="1:34" ht="15">
      <c r="A58" s="403"/>
      <c r="B58" s="942"/>
      <c r="C58" s="830"/>
      <c r="D58" s="831"/>
      <c r="E58" s="831"/>
      <c r="F58" s="831"/>
      <c r="G58" s="831"/>
      <c r="H58" s="833"/>
      <c r="I58" s="834"/>
      <c r="J58" s="834"/>
      <c r="K58" s="834"/>
      <c r="L58" s="834"/>
      <c r="M58" s="834"/>
      <c r="N58" s="834"/>
      <c r="O58" s="834"/>
      <c r="P58" s="834"/>
      <c r="Q58" s="834"/>
      <c r="R58" s="834"/>
      <c r="S58" s="834"/>
      <c r="T58" s="834"/>
      <c r="U58" s="835"/>
      <c r="V58" s="793"/>
      <c r="W58" s="793"/>
      <c r="X58" s="794"/>
      <c r="Y58" s="409"/>
      <c r="Z58" s="403"/>
    </row>
    <row r="59" spans="1:34" ht="15">
      <c r="A59" s="403"/>
      <c r="B59" s="942"/>
      <c r="C59" s="830"/>
      <c r="D59" s="831"/>
      <c r="E59" s="831"/>
      <c r="F59" s="831"/>
      <c r="G59" s="831"/>
      <c r="H59" s="833"/>
      <c r="I59" s="834"/>
      <c r="J59" s="834"/>
      <c r="K59" s="834"/>
      <c r="L59" s="834"/>
      <c r="M59" s="834"/>
      <c r="N59" s="834"/>
      <c r="O59" s="834"/>
      <c r="P59" s="834"/>
      <c r="Q59" s="834"/>
      <c r="R59" s="834"/>
      <c r="S59" s="834"/>
      <c r="T59" s="834"/>
      <c r="U59" s="835"/>
      <c r="V59" s="793"/>
      <c r="W59" s="793"/>
      <c r="X59" s="794"/>
      <c r="Y59" s="409"/>
      <c r="Z59" s="403"/>
    </row>
    <row r="60" spans="1:34" ht="15">
      <c r="A60" s="403"/>
      <c r="B60" s="942"/>
      <c r="C60" s="832"/>
      <c r="D60" s="755"/>
      <c r="E60" s="755"/>
      <c r="F60" s="755"/>
      <c r="G60" s="755"/>
      <c r="H60" s="861">
        <v>1</v>
      </c>
      <c r="I60" s="862"/>
      <c r="J60" s="442" t="s">
        <v>220</v>
      </c>
      <c r="K60" s="862">
        <v>12</v>
      </c>
      <c r="L60" s="862"/>
      <c r="M60" s="826"/>
      <c r="N60" s="826"/>
      <c r="O60" s="457"/>
      <c r="P60" s="457"/>
      <c r="Q60" s="865"/>
      <c r="R60" s="865"/>
      <c r="S60" s="457"/>
      <c r="T60" s="458"/>
      <c r="U60" s="459"/>
      <c r="V60" s="795"/>
      <c r="W60" s="795"/>
      <c r="X60" s="796"/>
      <c r="Y60" s="409"/>
      <c r="Z60" s="409"/>
    </row>
    <row r="61" spans="1:34" s="188" customFormat="1">
      <c r="A61" s="403"/>
      <c r="B61" s="942" t="s">
        <v>197</v>
      </c>
      <c r="C61" s="830" t="s">
        <v>247</v>
      </c>
      <c r="D61" s="831"/>
      <c r="E61" s="831"/>
      <c r="F61" s="831"/>
      <c r="G61" s="831"/>
      <c r="H61" s="772" t="str">
        <f>CONCATENATE("Criada pelo art. 7º, inciso XIX da CF, combinado com o art. 10, § 1º dos Atos das Disposições Constitucionais Transitórias - ADCT, a Licença Paternidade concede ao empregado o direito de ausentar-se do serviço por cinco dias quando do nascimento do filho.","Considera-se que ",Q67*100," % é média de trabalhadores que se tornam pais durante o ano. ","Dessa forma a provisão para este item corresponde a:")</f>
        <v>Criada pelo art. 7º, inciso XIX da CF, combinado com o art. 10, § 1º dos Atos das Disposições Constitucionais Transitórias - ADCT, a Licença Paternidade concede ao empregado o direito de ausentar-se do serviço por cinco dias quando do nascimento do filho.Considera-se que 1,5 % é média de trabalhadores que se tornam pais durante o ano. Dessa forma a provisão para este item corresponde a:</v>
      </c>
      <c r="I61" s="773"/>
      <c r="J61" s="773"/>
      <c r="K61" s="773"/>
      <c r="L61" s="773"/>
      <c r="M61" s="773"/>
      <c r="N61" s="773"/>
      <c r="O61" s="773"/>
      <c r="P61" s="773"/>
      <c r="Q61" s="773"/>
      <c r="R61" s="773"/>
      <c r="S61" s="773"/>
      <c r="T61" s="773"/>
      <c r="U61" s="774"/>
      <c r="V61" s="791">
        <f>(I67/K67/M67*Q67)</f>
        <v>2.0833333333333335E-4</v>
      </c>
      <c r="W61" s="791"/>
      <c r="X61" s="792"/>
      <c r="Y61" s="409"/>
      <c r="Z61" s="403"/>
      <c r="AA61" s="189"/>
      <c r="AB61" s="189"/>
      <c r="AC61" s="189"/>
      <c r="AD61" s="189"/>
      <c r="AE61" s="189"/>
      <c r="AF61" s="189"/>
      <c r="AG61" s="189"/>
      <c r="AH61" s="189"/>
    </row>
    <row r="62" spans="1:34" s="188" customFormat="1">
      <c r="A62" s="403"/>
      <c r="B62" s="942"/>
      <c r="C62" s="830"/>
      <c r="D62" s="831"/>
      <c r="E62" s="831"/>
      <c r="F62" s="831"/>
      <c r="G62" s="831"/>
      <c r="H62" s="833"/>
      <c r="I62" s="834"/>
      <c r="J62" s="834"/>
      <c r="K62" s="834"/>
      <c r="L62" s="834"/>
      <c r="M62" s="834"/>
      <c r="N62" s="834"/>
      <c r="O62" s="834"/>
      <c r="P62" s="834"/>
      <c r="Q62" s="834"/>
      <c r="R62" s="834"/>
      <c r="S62" s="834"/>
      <c r="T62" s="834"/>
      <c r="U62" s="835"/>
      <c r="V62" s="793"/>
      <c r="W62" s="793"/>
      <c r="X62" s="794"/>
      <c r="Y62" s="409"/>
      <c r="Z62" s="403"/>
      <c r="AA62" s="189"/>
      <c r="AB62" s="189"/>
      <c r="AC62" s="189"/>
      <c r="AD62" s="189"/>
      <c r="AE62" s="189"/>
      <c r="AF62" s="189"/>
      <c r="AG62" s="189"/>
      <c r="AH62" s="189"/>
    </row>
    <row r="63" spans="1:34" s="188" customFormat="1">
      <c r="A63" s="403"/>
      <c r="B63" s="942"/>
      <c r="C63" s="830"/>
      <c r="D63" s="831"/>
      <c r="E63" s="831"/>
      <c r="F63" s="831"/>
      <c r="G63" s="831"/>
      <c r="H63" s="833"/>
      <c r="I63" s="834"/>
      <c r="J63" s="834"/>
      <c r="K63" s="834"/>
      <c r="L63" s="834"/>
      <c r="M63" s="834"/>
      <c r="N63" s="834"/>
      <c r="O63" s="834"/>
      <c r="P63" s="834"/>
      <c r="Q63" s="834"/>
      <c r="R63" s="834"/>
      <c r="S63" s="834"/>
      <c r="T63" s="834"/>
      <c r="U63" s="835"/>
      <c r="V63" s="793"/>
      <c r="W63" s="793"/>
      <c r="X63" s="794"/>
      <c r="Y63" s="409"/>
      <c r="Z63" s="403"/>
      <c r="AA63" s="189"/>
      <c r="AB63" s="189"/>
      <c r="AC63" s="189"/>
      <c r="AD63" s="189"/>
      <c r="AE63" s="189"/>
      <c r="AF63" s="189"/>
      <c r="AG63" s="189"/>
      <c r="AH63" s="189"/>
    </row>
    <row r="64" spans="1:34" s="188" customFormat="1">
      <c r="A64" s="403"/>
      <c r="B64" s="942"/>
      <c r="C64" s="830"/>
      <c r="D64" s="831"/>
      <c r="E64" s="831"/>
      <c r="F64" s="831"/>
      <c r="G64" s="831"/>
      <c r="H64" s="833"/>
      <c r="I64" s="834"/>
      <c r="J64" s="834"/>
      <c r="K64" s="834"/>
      <c r="L64" s="834"/>
      <c r="M64" s="834"/>
      <c r="N64" s="834"/>
      <c r="O64" s="834"/>
      <c r="P64" s="834"/>
      <c r="Q64" s="834"/>
      <c r="R64" s="834"/>
      <c r="S64" s="834"/>
      <c r="T64" s="834"/>
      <c r="U64" s="835"/>
      <c r="V64" s="793"/>
      <c r="W64" s="793"/>
      <c r="X64" s="794"/>
      <c r="Y64" s="409"/>
      <c r="Z64" s="403"/>
      <c r="AA64" s="189"/>
      <c r="AB64" s="189"/>
      <c r="AC64" s="189"/>
      <c r="AD64" s="189"/>
      <c r="AE64" s="189"/>
      <c r="AF64" s="189"/>
      <c r="AG64" s="189"/>
      <c r="AH64" s="189"/>
    </row>
    <row r="65" spans="1:34" s="188" customFormat="1">
      <c r="A65" s="403"/>
      <c r="B65" s="942"/>
      <c r="C65" s="830"/>
      <c r="D65" s="831"/>
      <c r="E65" s="831"/>
      <c r="F65" s="831"/>
      <c r="G65" s="831"/>
      <c r="H65" s="833"/>
      <c r="I65" s="834"/>
      <c r="J65" s="834"/>
      <c r="K65" s="834"/>
      <c r="L65" s="834"/>
      <c r="M65" s="834"/>
      <c r="N65" s="834"/>
      <c r="O65" s="834"/>
      <c r="P65" s="834"/>
      <c r="Q65" s="834"/>
      <c r="R65" s="834"/>
      <c r="S65" s="834"/>
      <c r="T65" s="834"/>
      <c r="U65" s="835"/>
      <c r="V65" s="793"/>
      <c r="W65" s="793"/>
      <c r="X65" s="794"/>
      <c r="Y65" s="409"/>
      <c r="Z65" s="403"/>
      <c r="AA65" s="189"/>
      <c r="AB65" s="189"/>
      <c r="AC65" s="189"/>
      <c r="AD65" s="189"/>
      <c r="AE65" s="189"/>
      <c r="AF65" s="189"/>
      <c r="AG65" s="189"/>
      <c r="AH65" s="189"/>
    </row>
    <row r="66" spans="1:34" s="188" customFormat="1">
      <c r="A66" s="403"/>
      <c r="B66" s="942"/>
      <c r="C66" s="830"/>
      <c r="D66" s="831"/>
      <c r="E66" s="831"/>
      <c r="F66" s="831"/>
      <c r="G66" s="831"/>
      <c r="H66" s="833"/>
      <c r="I66" s="834"/>
      <c r="J66" s="834"/>
      <c r="K66" s="834"/>
      <c r="L66" s="834"/>
      <c r="M66" s="834"/>
      <c r="N66" s="834"/>
      <c r="O66" s="834"/>
      <c r="P66" s="834"/>
      <c r="Q66" s="834"/>
      <c r="R66" s="834"/>
      <c r="S66" s="834"/>
      <c r="T66" s="834"/>
      <c r="U66" s="835"/>
      <c r="V66" s="793"/>
      <c r="W66" s="793"/>
      <c r="X66" s="794"/>
      <c r="Y66" s="409"/>
      <c r="Z66" s="403"/>
      <c r="AA66" s="189"/>
      <c r="AB66" s="189"/>
      <c r="AC66" s="189"/>
      <c r="AD66" s="189"/>
      <c r="AE66" s="189"/>
      <c r="AF66" s="189"/>
      <c r="AG66" s="189"/>
      <c r="AH66" s="189"/>
    </row>
    <row r="67" spans="1:34" s="188" customFormat="1" ht="23.25" customHeight="1">
      <c r="A67" s="403"/>
      <c r="B67" s="942"/>
      <c r="C67" s="832"/>
      <c r="D67" s="755"/>
      <c r="E67" s="755"/>
      <c r="F67" s="755"/>
      <c r="G67" s="755"/>
      <c r="H67" s="450" t="s">
        <v>234</v>
      </c>
      <c r="I67" s="424">
        <v>5</v>
      </c>
      <c r="J67" s="427" t="s">
        <v>220</v>
      </c>
      <c r="K67" s="425">
        <v>12</v>
      </c>
      <c r="L67" s="427" t="s">
        <v>220</v>
      </c>
      <c r="M67" s="425">
        <v>30</v>
      </c>
      <c r="N67" s="427" t="s">
        <v>235</v>
      </c>
      <c r="O67" s="417" t="s">
        <v>223</v>
      </c>
      <c r="P67" s="427" t="s">
        <v>234</v>
      </c>
      <c r="Q67" s="805">
        <v>1.4999999999999999E-2</v>
      </c>
      <c r="R67" s="805"/>
      <c r="S67" s="427" t="s">
        <v>235</v>
      </c>
      <c r="T67" s="418"/>
      <c r="U67" s="419"/>
      <c r="V67" s="795"/>
      <c r="W67" s="795"/>
      <c r="X67" s="796"/>
      <c r="Y67" s="409"/>
      <c r="Z67" s="403"/>
      <c r="AA67" s="189"/>
      <c r="AB67" s="189"/>
      <c r="AC67" s="189"/>
      <c r="AD67" s="189"/>
      <c r="AE67" s="189"/>
      <c r="AF67" s="189"/>
      <c r="AG67" s="189"/>
      <c r="AH67" s="189"/>
    </row>
    <row r="68" spans="1:34" s="188" customFormat="1">
      <c r="A68" s="403"/>
      <c r="B68" s="942" t="s">
        <v>199</v>
      </c>
      <c r="C68" s="880" t="s">
        <v>248</v>
      </c>
      <c r="D68" s="881"/>
      <c r="E68" s="881"/>
      <c r="F68" s="881"/>
      <c r="G68" s="881"/>
      <c r="H68" s="772" t="str">
        <f>CONCATENATE("Ausências ao trabalho asseguradas ao empregado pelos artigos 473 e 822 da CLT, Art. 430 do CPP, art. 419, parágrafo único do CPC, e Súmula nº 155 do TST"," (morte de cônjuge, ascendente, descendente, casamento, nascimento de filho, doação de sangue, alistamento eleitoral, serviço militar, comparecer à Juízo).","Assim considerou-se em média ",I72," ausência por trabalhador no ano:")</f>
        <v>Ausências ao trabalho asseguradas ao empregado pelos artigos 473 e 822 da CLT, Art. 430 do CPP, art. 419, parágrafo único do CPC, e Súmula nº 155 do TST (morte de cônjuge, ascendente, descendente, casamento, nascimento de filho, doação de sangue, alistamento eleitoral, serviço militar, comparecer à Juízo).Assim considerou-se em média 1 ausência por trabalhador no ano:</v>
      </c>
      <c r="I68" s="773"/>
      <c r="J68" s="773"/>
      <c r="K68" s="773"/>
      <c r="L68" s="773"/>
      <c r="M68" s="773"/>
      <c r="N68" s="773"/>
      <c r="O68" s="773"/>
      <c r="P68" s="773"/>
      <c r="Q68" s="773"/>
      <c r="R68" s="773"/>
      <c r="S68" s="773"/>
      <c r="T68" s="773"/>
      <c r="U68" s="774"/>
      <c r="V68" s="791">
        <f>I72/K72/M72</f>
        <v>2.7777777777777775E-3</v>
      </c>
      <c r="W68" s="791"/>
      <c r="X68" s="792"/>
      <c r="Y68" s="409"/>
      <c r="Z68" s="403"/>
      <c r="AA68" s="189"/>
      <c r="AB68" s="189"/>
      <c r="AC68" s="189"/>
      <c r="AD68" s="189"/>
      <c r="AE68" s="189"/>
      <c r="AF68" s="189"/>
      <c r="AG68" s="189"/>
      <c r="AH68" s="189"/>
    </row>
    <row r="69" spans="1:34" s="188" customFormat="1">
      <c r="A69" s="403"/>
      <c r="B69" s="942"/>
      <c r="C69" s="880"/>
      <c r="D69" s="881"/>
      <c r="E69" s="881"/>
      <c r="F69" s="881"/>
      <c r="G69" s="881"/>
      <c r="H69" s="833"/>
      <c r="I69" s="834"/>
      <c r="J69" s="834"/>
      <c r="K69" s="834"/>
      <c r="L69" s="834"/>
      <c r="M69" s="834"/>
      <c r="N69" s="834"/>
      <c r="O69" s="834"/>
      <c r="P69" s="834"/>
      <c r="Q69" s="834"/>
      <c r="R69" s="834"/>
      <c r="S69" s="834"/>
      <c r="T69" s="834"/>
      <c r="U69" s="835"/>
      <c r="V69" s="793"/>
      <c r="W69" s="793"/>
      <c r="X69" s="794"/>
      <c r="Y69" s="409"/>
      <c r="Z69" s="403"/>
      <c r="AA69" s="189"/>
      <c r="AB69" s="189"/>
      <c r="AC69" s="189"/>
      <c r="AD69" s="189"/>
      <c r="AE69" s="189"/>
      <c r="AF69" s="189"/>
      <c r="AG69" s="189"/>
      <c r="AH69" s="189"/>
    </row>
    <row r="70" spans="1:34" s="188" customFormat="1">
      <c r="A70" s="403"/>
      <c r="B70" s="942"/>
      <c r="C70" s="880"/>
      <c r="D70" s="881"/>
      <c r="E70" s="881"/>
      <c r="F70" s="881"/>
      <c r="G70" s="881"/>
      <c r="H70" s="833"/>
      <c r="I70" s="834"/>
      <c r="J70" s="834"/>
      <c r="K70" s="834"/>
      <c r="L70" s="834"/>
      <c r="M70" s="834"/>
      <c r="N70" s="834"/>
      <c r="O70" s="834"/>
      <c r="P70" s="834"/>
      <c r="Q70" s="834"/>
      <c r="R70" s="834"/>
      <c r="S70" s="834"/>
      <c r="T70" s="834"/>
      <c r="U70" s="835"/>
      <c r="V70" s="793"/>
      <c r="W70" s="793"/>
      <c r="X70" s="794"/>
      <c r="Y70" s="409"/>
      <c r="Z70" s="403"/>
      <c r="AA70" s="189"/>
      <c r="AB70" s="189"/>
      <c r="AC70" s="189"/>
      <c r="AD70" s="189"/>
      <c r="AE70" s="189"/>
      <c r="AF70" s="189"/>
      <c r="AG70" s="189"/>
      <c r="AH70" s="189"/>
    </row>
    <row r="71" spans="1:34" s="188" customFormat="1" ht="56.25" customHeight="1">
      <c r="A71" s="403"/>
      <c r="B71" s="942"/>
      <c r="C71" s="880"/>
      <c r="D71" s="881"/>
      <c r="E71" s="881"/>
      <c r="F71" s="881"/>
      <c r="G71" s="881"/>
      <c r="H71" s="833"/>
      <c r="I71" s="834"/>
      <c r="J71" s="834"/>
      <c r="K71" s="834"/>
      <c r="L71" s="834"/>
      <c r="M71" s="834"/>
      <c r="N71" s="834"/>
      <c r="O71" s="834"/>
      <c r="P71" s="834"/>
      <c r="Q71" s="834"/>
      <c r="R71" s="834"/>
      <c r="S71" s="834"/>
      <c r="T71" s="834"/>
      <c r="U71" s="835"/>
      <c r="V71" s="793"/>
      <c r="W71" s="793"/>
      <c r="X71" s="794"/>
      <c r="Y71" s="409"/>
      <c r="Z71" s="403"/>
      <c r="AA71" s="189"/>
      <c r="AB71" s="189"/>
      <c r="AC71" s="189"/>
      <c r="AD71" s="189"/>
      <c r="AE71" s="189"/>
      <c r="AF71" s="189"/>
      <c r="AG71" s="189"/>
      <c r="AH71" s="189"/>
    </row>
    <row r="72" spans="1:34" s="188" customFormat="1" ht="24" customHeight="1">
      <c r="A72" s="403"/>
      <c r="B72" s="942"/>
      <c r="C72" s="882"/>
      <c r="D72" s="883"/>
      <c r="E72" s="883"/>
      <c r="F72" s="883"/>
      <c r="G72" s="883"/>
      <c r="H72" s="450" t="s">
        <v>234</v>
      </c>
      <c r="I72" s="424">
        <v>1</v>
      </c>
      <c r="J72" s="427" t="s">
        <v>220</v>
      </c>
      <c r="K72" s="425">
        <v>12</v>
      </c>
      <c r="L72" s="427" t="s">
        <v>220</v>
      </c>
      <c r="M72" s="425">
        <v>30</v>
      </c>
      <c r="N72" s="427" t="s">
        <v>235</v>
      </c>
      <c r="O72" s="417"/>
      <c r="P72" s="417"/>
      <c r="Q72" s="417"/>
      <c r="R72" s="417"/>
      <c r="S72" s="417"/>
      <c r="T72" s="418"/>
      <c r="U72" s="419"/>
      <c r="V72" s="795"/>
      <c r="W72" s="795"/>
      <c r="X72" s="796"/>
      <c r="Y72" s="409"/>
      <c r="Z72" s="403"/>
      <c r="AA72" s="189"/>
      <c r="AB72" s="189"/>
      <c r="AC72" s="189"/>
      <c r="AD72" s="189"/>
      <c r="AE72" s="189"/>
      <c r="AF72" s="189"/>
      <c r="AG72" s="189"/>
      <c r="AH72" s="189"/>
    </row>
    <row r="73" spans="1:34" s="188" customFormat="1" ht="15.75" customHeight="1">
      <c r="A73" s="403"/>
      <c r="B73" s="942" t="s">
        <v>201</v>
      </c>
      <c r="C73" s="772" t="s">
        <v>249</v>
      </c>
      <c r="D73" s="808"/>
      <c r="E73" s="808"/>
      <c r="F73" s="808"/>
      <c r="G73" s="809"/>
      <c r="H73" s="772" t="str">
        <f>CONCATENATE("Fundamento Legal :Artigos, 7º, XXI, da CF/88, Arts. 477, 487, 488 e 491 da CLT. Essa rubrica refere-se ao provisionamento a ser pago à empresa para que a mesma substitua o empregado que esteja cumprindo aviso prévio e sofra redução de 2 (duas)"," horas diárias em sua jornada de trabalho no mês de aviso prévio, ou opte por faltar ao serviço por 7 (sete) dias corridos, no caso de o empregador rescindir o contrato sem justo motivo e conceder aviso prévio."," Estima-se em: ",Q79*100," % a estatística anual de empregados que recebem aviso prévio trabalhado.""")</f>
        <v>Fundamento Legal :Artigos, 7º, XXI, da CF/88, Arts. 477, 487, 488 e 491 da CLT. Essa rubrica refere-se ao provisionamento a ser pago à empresa para que a mesma substitua o empregado que esteja cumprindo aviso prévio e sofra redução de 2 (duas) horas diárias em sua jornada de trabalho no mês de aviso prévio, ou opte por faltar ao serviço por 7 (sete) dias corridos, no caso de o empregador rescindir o contrato sem justo motivo e conceder aviso prévio. Estima-se em: 5 % a estatística anual de empregados que recebem aviso prévio trabalhado."</v>
      </c>
      <c r="I73" s="773"/>
      <c r="J73" s="773"/>
      <c r="K73" s="773"/>
      <c r="L73" s="773"/>
      <c r="M73" s="773"/>
      <c r="N73" s="773"/>
      <c r="O73" s="773"/>
      <c r="P73" s="773"/>
      <c r="Q73" s="773"/>
      <c r="R73" s="773"/>
      <c r="S73" s="773"/>
      <c r="T73" s="773"/>
      <c r="U73" s="774"/>
      <c r="V73" s="791">
        <f>(I79/K79/M79*Q79)</f>
        <v>9.722222222222223E-4</v>
      </c>
      <c r="W73" s="791"/>
      <c r="X73" s="792"/>
      <c r="Y73" s="409"/>
      <c r="Z73" s="403"/>
      <c r="AA73" s="189"/>
      <c r="AB73" s="189"/>
      <c r="AC73" s="189"/>
      <c r="AD73" s="189"/>
      <c r="AE73" s="189"/>
      <c r="AF73" s="189"/>
      <c r="AG73" s="189"/>
      <c r="AH73" s="189"/>
    </row>
    <row r="74" spans="1:34" s="188" customFormat="1">
      <c r="A74" s="403"/>
      <c r="B74" s="942"/>
      <c r="C74" s="833"/>
      <c r="D74" s="878"/>
      <c r="E74" s="878"/>
      <c r="F74" s="878"/>
      <c r="G74" s="879"/>
      <c r="H74" s="833"/>
      <c r="I74" s="834"/>
      <c r="J74" s="834"/>
      <c r="K74" s="834"/>
      <c r="L74" s="834"/>
      <c r="M74" s="834"/>
      <c r="N74" s="834"/>
      <c r="O74" s="834"/>
      <c r="P74" s="834"/>
      <c r="Q74" s="834"/>
      <c r="R74" s="834"/>
      <c r="S74" s="834"/>
      <c r="T74" s="834"/>
      <c r="U74" s="835"/>
      <c r="V74" s="793"/>
      <c r="W74" s="793"/>
      <c r="X74" s="794"/>
      <c r="Y74" s="409"/>
      <c r="Z74" s="403"/>
      <c r="AA74" s="189"/>
      <c r="AB74" s="189"/>
      <c r="AC74" s="189"/>
      <c r="AD74" s="189"/>
      <c r="AE74" s="189"/>
      <c r="AF74" s="189"/>
      <c r="AG74" s="189"/>
      <c r="AH74" s="189"/>
    </row>
    <row r="75" spans="1:34" s="188" customFormat="1">
      <c r="A75" s="403"/>
      <c r="B75" s="942"/>
      <c r="C75" s="833"/>
      <c r="D75" s="878"/>
      <c r="E75" s="878"/>
      <c r="F75" s="878"/>
      <c r="G75" s="879"/>
      <c r="H75" s="833"/>
      <c r="I75" s="834"/>
      <c r="J75" s="834"/>
      <c r="K75" s="834"/>
      <c r="L75" s="834"/>
      <c r="M75" s="834"/>
      <c r="N75" s="834"/>
      <c r="O75" s="834"/>
      <c r="P75" s="834"/>
      <c r="Q75" s="834"/>
      <c r="R75" s="834"/>
      <c r="S75" s="834"/>
      <c r="T75" s="834"/>
      <c r="U75" s="835"/>
      <c r="V75" s="793"/>
      <c r="W75" s="793"/>
      <c r="X75" s="794"/>
      <c r="Y75" s="409"/>
      <c r="Z75" s="403"/>
      <c r="AA75" s="189"/>
      <c r="AB75" s="189"/>
      <c r="AC75" s="189"/>
      <c r="AD75" s="189"/>
      <c r="AE75" s="189"/>
      <c r="AF75" s="189"/>
      <c r="AG75" s="189"/>
      <c r="AH75" s="189"/>
    </row>
    <row r="76" spans="1:34" s="188" customFormat="1">
      <c r="A76" s="403"/>
      <c r="B76" s="942"/>
      <c r="C76" s="833"/>
      <c r="D76" s="878"/>
      <c r="E76" s="878"/>
      <c r="F76" s="878"/>
      <c r="G76" s="879"/>
      <c r="H76" s="833"/>
      <c r="I76" s="834"/>
      <c r="J76" s="834"/>
      <c r="K76" s="834"/>
      <c r="L76" s="834"/>
      <c r="M76" s="834"/>
      <c r="N76" s="834"/>
      <c r="O76" s="834"/>
      <c r="P76" s="834"/>
      <c r="Q76" s="834"/>
      <c r="R76" s="834"/>
      <c r="S76" s="834"/>
      <c r="T76" s="834"/>
      <c r="U76" s="835"/>
      <c r="V76" s="793"/>
      <c r="W76" s="793"/>
      <c r="X76" s="794"/>
      <c r="Y76" s="409"/>
      <c r="Z76" s="403"/>
      <c r="AA76" s="189"/>
      <c r="AB76" s="189"/>
      <c r="AC76" s="189"/>
      <c r="AD76" s="189"/>
      <c r="AE76" s="189"/>
      <c r="AF76" s="189"/>
      <c r="AG76" s="189"/>
      <c r="AH76" s="189"/>
    </row>
    <row r="77" spans="1:34" s="188" customFormat="1">
      <c r="A77" s="403"/>
      <c r="B77" s="942"/>
      <c r="C77" s="833"/>
      <c r="D77" s="878"/>
      <c r="E77" s="878"/>
      <c r="F77" s="878"/>
      <c r="G77" s="879"/>
      <c r="H77" s="833"/>
      <c r="I77" s="834"/>
      <c r="J77" s="834"/>
      <c r="K77" s="834"/>
      <c r="L77" s="834"/>
      <c r="M77" s="834"/>
      <c r="N77" s="834"/>
      <c r="O77" s="834"/>
      <c r="P77" s="834"/>
      <c r="Q77" s="834"/>
      <c r="R77" s="834"/>
      <c r="S77" s="834"/>
      <c r="T77" s="834"/>
      <c r="U77" s="835"/>
      <c r="V77" s="793"/>
      <c r="W77" s="793"/>
      <c r="X77" s="794"/>
      <c r="Y77" s="409"/>
      <c r="Z77" s="403"/>
      <c r="AA77" s="189"/>
      <c r="AB77" s="189"/>
      <c r="AC77" s="189"/>
      <c r="AD77" s="189"/>
      <c r="AE77" s="189"/>
      <c r="AF77" s="189"/>
      <c r="AG77" s="189"/>
      <c r="AH77" s="189"/>
    </row>
    <row r="78" spans="1:34" s="188" customFormat="1" ht="50.25" customHeight="1">
      <c r="A78" s="403"/>
      <c r="B78" s="942"/>
      <c r="C78" s="833"/>
      <c r="D78" s="878"/>
      <c r="E78" s="878"/>
      <c r="F78" s="878"/>
      <c r="G78" s="879"/>
      <c r="H78" s="833"/>
      <c r="I78" s="834"/>
      <c r="J78" s="834"/>
      <c r="K78" s="834"/>
      <c r="L78" s="834"/>
      <c r="M78" s="834"/>
      <c r="N78" s="834"/>
      <c r="O78" s="834"/>
      <c r="P78" s="834"/>
      <c r="Q78" s="834"/>
      <c r="R78" s="834"/>
      <c r="S78" s="834"/>
      <c r="T78" s="834"/>
      <c r="U78" s="835"/>
      <c r="V78" s="793"/>
      <c r="W78" s="793"/>
      <c r="X78" s="794"/>
      <c r="Y78" s="409"/>
      <c r="Z78" s="403"/>
      <c r="AA78" s="189"/>
      <c r="AB78" s="189"/>
      <c r="AC78" s="189"/>
      <c r="AD78" s="189"/>
      <c r="AE78" s="189"/>
      <c r="AF78" s="189"/>
      <c r="AG78" s="189"/>
      <c r="AH78" s="189"/>
    </row>
    <row r="79" spans="1:34" s="188" customFormat="1" ht="43.5" customHeight="1">
      <c r="A79" s="403"/>
      <c r="B79" s="942"/>
      <c r="C79" s="810"/>
      <c r="D79" s="811"/>
      <c r="E79" s="811"/>
      <c r="F79" s="811"/>
      <c r="G79" s="812"/>
      <c r="H79" s="450" t="s">
        <v>234</v>
      </c>
      <c r="I79" s="424">
        <v>7</v>
      </c>
      <c r="J79" s="427" t="s">
        <v>220</v>
      </c>
      <c r="K79" s="425">
        <v>12</v>
      </c>
      <c r="L79" s="427" t="s">
        <v>220</v>
      </c>
      <c r="M79" s="425">
        <v>30</v>
      </c>
      <c r="N79" s="427" t="s">
        <v>235</v>
      </c>
      <c r="O79" s="427" t="s">
        <v>223</v>
      </c>
      <c r="P79" s="427" t="s">
        <v>234</v>
      </c>
      <c r="Q79" s="805">
        <v>0.05</v>
      </c>
      <c r="R79" s="805"/>
      <c r="S79" s="427" t="s">
        <v>235</v>
      </c>
      <c r="T79" s="418"/>
      <c r="U79" s="419"/>
      <c r="V79" s="795"/>
      <c r="W79" s="795"/>
      <c r="X79" s="796"/>
      <c r="Y79" s="409"/>
      <c r="Z79" s="403"/>
      <c r="AA79" s="189"/>
      <c r="AB79" s="189"/>
      <c r="AC79" s="189"/>
      <c r="AD79" s="189"/>
      <c r="AE79" s="189"/>
      <c r="AF79" s="189"/>
      <c r="AG79" s="189"/>
      <c r="AH79" s="189"/>
    </row>
    <row r="80" spans="1:34" s="188" customFormat="1">
      <c r="A80" s="403"/>
      <c r="B80" s="403"/>
      <c r="C80" s="781" t="s">
        <v>250</v>
      </c>
      <c r="D80" s="746"/>
      <c r="E80" s="746"/>
      <c r="F80" s="746"/>
      <c r="G80" s="746"/>
      <c r="H80" s="746"/>
      <c r="I80" s="746"/>
      <c r="J80" s="746"/>
      <c r="K80" s="746"/>
      <c r="L80" s="746"/>
      <c r="M80" s="746"/>
      <c r="N80" s="746"/>
      <c r="O80" s="746"/>
      <c r="P80" s="746"/>
      <c r="Q80" s="746"/>
      <c r="R80" s="746"/>
      <c r="S80" s="746"/>
      <c r="T80" s="746"/>
      <c r="U80" s="746"/>
      <c r="V80" s="782">
        <f>SUM(V57:X79)</f>
        <v>8.729166666666667E-2</v>
      </c>
      <c r="W80" s="744"/>
      <c r="X80" s="744"/>
      <c r="Y80" s="409"/>
      <c r="Z80" s="403"/>
      <c r="AA80" s="189"/>
      <c r="AB80" s="189"/>
      <c r="AC80" s="189"/>
      <c r="AD80" s="189"/>
      <c r="AE80" s="189"/>
      <c r="AF80" s="189"/>
      <c r="AG80" s="189"/>
      <c r="AH80" s="189"/>
    </row>
    <row r="81" spans="1:34" s="188" customFormat="1" ht="18" customHeight="1">
      <c r="A81" s="403"/>
      <c r="B81" s="441" t="s">
        <v>203</v>
      </c>
      <c r="C81" s="783" t="s">
        <v>251</v>
      </c>
      <c r="D81" s="768"/>
      <c r="E81" s="768"/>
      <c r="F81" s="768"/>
      <c r="G81" s="768"/>
      <c r="H81" s="768"/>
      <c r="I81" s="768"/>
      <c r="J81" s="768"/>
      <c r="K81" s="768"/>
      <c r="L81" s="768"/>
      <c r="M81" s="768"/>
      <c r="N81" s="768"/>
      <c r="O81" s="768"/>
      <c r="P81" s="768"/>
      <c r="Q81" s="784">
        <f>V13</f>
        <v>0.3680000000000001</v>
      </c>
      <c r="R81" s="785"/>
      <c r="S81" s="431" t="s">
        <v>223</v>
      </c>
      <c r="T81" s="786">
        <f>V80</f>
        <v>8.729166666666667E-2</v>
      </c>
      <c r="U81" s="787"/>
      <c r="V81" s="788">
        <f>(Q81*T81)</f>
        <v>3.2123333333333344E-2</v>
      </c>
      <c r="W81" s="789"/>
      <c r="X81" s="790"/>
      <c r="Y81" s="409"/>
      <c r="Z81" s="403"/>
      <c r="AA81" s="189"/>
      <c r="AB81" s="189"/>
      <c r="AC81" s="189"/>
      <c r="AD81" s="189"/>
      <c r="AE81" s="189"/>
      <c r="AF81" s="189"/>
      <c r="AG81" s="189"/>
      <c r="AH81" s="189"/>
    </row>
    <row r="82" spans="1:34" s="188" customFormat="1" ht="18" customHeight="1">
      <c r="A82" s="403"/>
      <c r="B82" s="943" t="s">
        <v>205</v>
      </c>
      <c r="C82" s="884" t="s">
        <v>252</v>
      </c>
      <c r="D82" s="885"/>
      <c r="E82" s="885"/>
      <c r="F82" s="885"/>
      <c r="G82" s="886"/>
      <c r="H82" s="892" t="str">
        <f>CONCATENATE("Esta parcela refere-se aos dias em que o empregado fica doente e a contratada deve providenciar sua substituição. Estimamos em ",I87," ausências ao ano por trabalhador, devendo-se converter esses dias em mês e depois dividi-lo pelo número de meses no ano."," Fundamento Legal: Artigos 59 a 64 da Lei n.º 8.213/1991 e Arts. 71 a 80 do Decreto nº 3.048/99 (Regul. Previdência Social).")</f>
        <v>Esta parcela refere-se aos dias em que o empregado fica doente e a contratada deve providenciar sua substituição. Estimamos em 4,14 ausências ao ano por trabalhador, devendo-se converter esses dias em mês e depois dividi-lo pelo número de meses no ano. Fundamento Legal: Artigos 59 a 64 da Lei n.º 8.213/1991 e Arts. 71 a 80 do Decreto nº 3.048/99 (Regul. Previdência Social).</v>
      </c>
      <c r="I82" s="893"/>
      <c r="J82" s="893"/>
      <c r="K82" s="893"/>
      <c r="L82" s="893"/>
      <c r="M82" s="893"/>
      <c r="N82" s="893"/>
      <c r="O82" s="893"/>
      <c r="P82" s="893"/>
      <c r="Q82" s="893"/>
      <c r="R82" s="893"/>
      <c r="S82" s="893"/>
      <c r="T82" s="893"/>
      <c r="U82" s="894"/>
      <c r="V82" s="873">
        <f>(I87/K87/M87)</f>
        <v>1.1499999999999998E-2</v>
      </c>
      <c r="W82" s="898"/>
      <c r="X82" s="899"/>
      <c r="Y82" s="409"/>
      <c r="Z82" s="403"/>
      <c r="AA82" s="189"/>
      <c r="AB82" s="189"/>
      <c r="AC82" s="189"/>
      <c r="AD82" s="189"/>
      <c r="AE82" s="189"/>
      <c r="AF82" s="189"/>
      <c r="AG82" s="189"/>
      <c r="AH82" s="189"/>
    </row>
    <row r="83" spans="1:34" s="188" customFormat="1" ht="18" customHeight="1">
      <c r="A83" s="403"/>
      <c r="B83" s="944"/>
      <c r="C83" s="830"/>
      <c r="D83" s="887"/>
      <c r="E83" s="887"/>
      <c r="F83" s="887"/>
      <c r="G83" s="888"/>
      <c r="H83" s="895"/>
      <c r="I83" s="896"/>
      <c r="J83" s="896"/>
      <c r="K83" s="896"/>
      <c r="L83" s="896"/>
      <c r="M83" s="896"/>
      <c r="N83" s="896"/>
      <c r="O83" s="896"/>
      <c r="P83" s="896"/>
      <c r="Q83" s="896"/>
      <c r="R83" s="896"/>
      <c r="S83" s="896"/>
      <c r="T83" s="896"/>
      <c r="U83" s="897"/>
      <c r="V83" s="874"/>
      <c r="W83" s="900"/>
      <c r="X83" s="901"/>
      <c r="Y83" s="409"/>
      <c r="Z83" s="403"/>
      <c r="AA83" s="189"/>
      <c r="AB83" s="189"/>
      <c r="AC83" s="189"/>
      <c r="AD83" s="189"/>
      <c r="AE83" s="189"/>
      <c r="AF83" s="189"/>
      <c r="AG83" s="189"/>
      <c r="AH83" s="189"/>
    </row>
    <row r="84" spans="1:34" s="188" customFormat="1" ht="18" customHeight="1">
      <c r="A84" s="403"/>
      <c r="B84" s="944"/>
      <c r="C84" s="830"/>
      <c r="D84" s="887"/>
      <c r="E84" s="887"/>
      <c r="F84" s="887"/>
      <c r="G84" s="888"/>
      <c r="H84" s="895"/>
      <c r="I84" s="896"/>
      <c r="J84" s="896"/>
      <c r="K84" s="896"/>
      <c r="L84" s="896"/>
      <c r="M84" s="896"/>
      <c r="N84" s="896"/>
      <c r="O84" s="896"/>
      <c r="P84" s="896"/>
      <c r="Q84" s="896"/>
      <c r="R84" s="896"/>
      <c r="S84" s="896"/>
      <c r="T84" s="896"/>
      <c r="U84" s="897"/>
      <c r="V84" s="874"/>
      <c r="W84" s="900"/>
      <c r="X84" s="901"/>
      <c r="Y84" s="409"/>
      <c r="Z84" s="403"/>
      <c r="AA84" s="189"/>
      <c r="AB84" s="189"/>
      <c r="AC84" s="189"/>
      <c r="AD84" s="189"/>
      <c r="AE84" s="189"/>
      <c r="AF84" s="189"/>
      <c r="AG84" s="189"/>
      <c r="AH84" s="189"/>
    </row>
    <row r="85" spans="1:34" s="188" customFormat="1" ht="18" customHeight="1">
      <c r="A85" s="403"/>
      <c r="B85" s="944"/>
      <c r="C85" s="830"/>
      <c r="D85" s="887"/>
      <c r="E85" s="887"/>
      <c r="F85" s="887"/>
      <c r="G85" s="888"/>
      <c r="H85" s="895"/>
      <c r="I85" s="896"/>
      <c r="J85" s="896"/>
      <c r="K85" s="896"/>
      <c r="L85" s="896"/>
      <c r="M85" s="896"/>
      <c r="N85" s="896"/>
      <c r="O85" s="896"/>
      <c r="P85" s="896"/>
      <c r="Q85" s="896"/>
      <c r="R85" s="896"/>
      <c r="S85" s="896"/>
      <c r="T85" s="896"/>
      <c r="U85" s="897"/>
      <c r="V85" s="874"/>
      <c r="W85" s="900"/>
      <c r="X85" s="901"/>
      <c r="Y85" s="409"/>
      <c r="Z85" s="403"/>
      <c r="AA85" s="189"/>
      <c r="AB85" s="189"/>
      <c r="AC85" s="189"/>
      <c r="AD85" s="189"/>
      <c r="AE85" s="189"/>
      <c r="AF85" s="189"/>
      <c r="AG85" s="189"/>
      <c r="AH85" s="189"/>
    </row>
    <row r="86" spans="1:34" s="188" customFormat="1" ht="18" customHeight="1">
      <c r="A86" s="403"/>
      <c r="B86" s="944"/>
      <c r="C86" s="830"/>
      <c r="D86" s="887"/>
      <c r="E86" s="887"/>
      <c r="F86" s="887"/>
      <c r="G86" s="888"/>
      <c r="H86" s="895"/>
      <c r="I86" s="896"/>
      <c r="J86" s="896"/>
      <c r="K86" s="896"/>
      <c r="L86" s="896"/>
      <c r="M86" s="896"/>
      <c r="N86" s="896"/>
      <c r="O86" s="896"/>
      <c r="P86" s="896"/>
      <c r="Q86" s="896"/>
      <c r="R86" s="896"/>
      <c r="S86" s="896"/>
      <c r="T86" s="896"/>
      <c r="U86" s="897"/>
      <c r="V86" s="874"/>
      <c r="W86" s="900"/>
      <c r="X86" s="901"/>
      <c r="Y86" s="409"/>
      <c r="Z86" s="403"/>
      <c r="AA86" s="189"/>
      <c r="AB86" s="189"/>
      <c r="AC86" s="189"/>
      <c r="AD86" s="189"/>
      <c r="AE86" s="189"/>
      <c r="AF86" s="189"/>
      <c r="AG86" s="189"/>
      <c r="AH86" s="189"/>
    </row>
    <row r="87" spans="1:34" s="188" customFormat="1" ht="18" customHeight="1">
      <c r="A87" s="403"/>
      <c r="B87" s="945"/>
      <c r="C87" s="889"/>
      <c r="D87" s="890"/>
      <c r="E87" s="890"/>
      <c r="F87" s="890"/>
      <c r="G87" s="891"/>
      <c r="H87" s="450" t="s">
        <v>234</v>
      </c>
      <c r="I87" s="460">
        <v>4.1399999999999997</v>
      </c>
      <c r="J87" s="427" t="s">
        <v>220</v>
      </c>
      <c r="K87" s="425">
        <v>30</v>
      </c>
      <c r="L87" s="427" t="s">
        <v>220</v>
      </c>
      <c r="M87" s="425">
        <v>12</v>
      </c>
      <c r="N87" s="427" t="s">
        <v>235</v>
      </c>
      <c r="O87" s="417"/>
      <c r="P87" s="417"/>
      <c r="Q87" s="417"/>
      <c r="R87" s="417"/>
      <c r="S87" s="417"/>
      <c r="T87" s="418"/>
      <c r="U87" s="419"/>
      <c r="V87" s="902"/>
      <c r="W87" s="903"/>
      <c r="X87" s="904"/>
      <c r="Y87" s="409"/>
      <c r="Z87" s="403"/>
      <c r="AA87" s="189"/>
      <c r="AB87" s="189"/>
      <c r="AC87" s="189"/>
      <c r="AD87" s="189"/>
      <c r="AE87" s="189"/>
      <c r="AF87" s="189"/>
      <c r="AG87" s="189"/>
      <c r="AH87" s="189"/>
    </row>
    <row r="88" spans="1:34" s="188" customFormat="1" ht="18" customHeight="1">
      <c r="A88" s="403"/>
      <c r="B88" s="942" t="s">
        <v>207</v>
      </c>
      <c r="C88" s="772" t="s">
        <v>253</v>
      </c>
      <c r="D88" s="808"/>
      <c r="E88" s="808"/>
      <c r="F88" s="808"/>
      <c r="G88" s="809"/>
      <c r="H88" s="772" t="str">
        <f>CONCATENATE("A Lei nº 8.213/1991 (Arts. 19 a 23 e 60), obriga o empregador a assumir ônus financeiro pelo prazo de 15 dias, no caso de acidente de trabalho.","Estima-se em ",Q92*100," % a média de trabalhadores que sofrem acidente durante o ano.")</f>
        <v>A Lei nº 8.213/1991 (Arts. 19 a 23 e 60), obriga o empregador a assumir ônus financeiro pelo prazo de 15 dias, no caso de acidente de trabalho.Estima-se em 8 % a média de trabalhadores que sofrem acidente durante o ano.</v>
      </c>
      <c r="I88" s="773"/>
      <c r="J88" s="773"/>
      <c r="K88" s="773"/>
      <c r="L88" s="773"/>
      <c r="M88" s="773"/>
      <c r="N88" s="773"/>
      <c r="O88" s="773"/>
      <c r="P88" s="773"/>
      <c r="Q88" s="773"/>
      <c r="R88" s="773"/>
      <c r="S88" s="773"/>
      <c r="T88" s="773"/>
      <c r="U88" s="774"/>
      <c r="V88" s="791">
        <f>(I92/K92/M92*Q92)</f>
        <v>3.3333333333333331E-3</v>
      </c>
      <c r="W88" s="791"/>
      <c r="X88" s="792"/>
      <c r="Y88" s="409"/>
      <c r="Z88" s="403"/>
      <c r="AA88" s="189"/>
      <c r="AB88" s="189"/>
      <c r="AC88" s="189"/>
      <c r="AD88" s="189"/>
      <c r="AE88" s="189"/>
      <c r="AF88" s="189"/>
      <c r="AG88" s="189"/>
      <c r="AH88" s="189"/>
    </row>
    <row r="89" spans="1:34" s="188" customFormat="1" ht="18" customHeight="1">
      <c r="A89" s="403"/>
      <c r="B89" s="942"/>
      <c r="C89" s="833"/>
      <c r="D89" s="878"/>
      <c r="E89" s="878"/>
      <c r="F89" s="878"/>
      <c r="G89" s="879"/>
      <c r="H89" s="833"/>
      <c r="I89" s="834"/>
      <c r="J89" s="834"/>
      <c r="K89" s="834"/>
      <c r="L89" s="834"/>
      <c r="M89" s="834"/>
      <c r="N89" s="834"/>
      <c r="O89" s="834"/>
      <c r="P89" s="834"/>
      <c r="Q89" s="834"/>
      <c r="R89" s="834"/>
      <c r="S89" s="834"/>
      <c r="T89" s="834"/>
      <c r="U89" s="835"/>
      <c r="V89" s="793"/>
      <c r="W89" s="793"/>
      <c r="X89" s="794"/>
      <c r="Y89" s="409"/>
      <c r="Z89" s="403"/>
      <c r="AA89" s="189"/>
      <c r="AB89" s="189"/>
      <c r="AC89" s="189"/>
      <c r="AD89" s="189"/>
      <c r="AE89" s="189"/>
      <c r="AF89" s="189"/>
      <c r="AG89" s="189"/>
      <c r="AH89" s="189"/>
    </row>
    <row r="90" spans="1:34" s="188" customFormat="1" ht="18" customHeight="1">
      <c r="A90" s="403"/>
      <c r="B90" s="942"/>
      <c r="C90" s="833"/>
      <c r="D90" s="878"/>
      <c r="E90" s="878"/>
      <c r="F90" s="878"/>
      <c r="G90" s="879"/>
      <c r="H90" s="833"/>
      <c r="I90" s="834"/>
      <c r="J90" s="834"/>
      <c r="K90" s="834"/>
      <c r="L90" s="834"/>
      <c r="M90" s="834"/>
      <c r="N90" s="834"/>
      <c r="O90" s="834"/>
      <c r="P90" s="834"/>
      <c r="Q90" s="834"/>
      <c r="R90" s="834"/>
      <c r="S90" s="834"/>
      <c r="T90" s="834"/>
      <c r="U90" s="835"/>
      <c r="V90" s="793"/>
      <c r="W90" s="793"/>
      <c r="X90" s="794"/>
      <c r="Y90" s="409"/>
      <c r="Z90" s="403"/>
      <c r="AA90" s="189"/>
      <c r="AB90" s="189"/>
      <c r="AC90" s="189"/>
      <c r="AD90" s="189"/>
      <c r="AE90" s="189"/>
      <c r="AF90" s="189"/>
      <c r="AG90" s="189"/>
      <c r="AH90" s="189"/>
    </row>
    <row r="91" spans="1:34" s="188" customFormat="1" ht="18" customHeight="1">
      <c r="A91" s="403"/>
      <c r="B91" s="942"/>
      <c r="C91" s="833"/>
      <c r="D91" s="878"/>
      <c r="E91" s="878"/>
      <c r="F91" s="878"/>
      <c r="G91" s="879"/>
      <c r="H91" s="833"/>
      <c r="I91" s="834"/>
      <c r="J91" s="834"/>
      <c r="K91" s="834"/>
      <c r="L91" s="834"/>
      <c r="M91" s="834"/>
      <c r="N91" s="834"/>
      <c r="O91" s="834"/>
      <c r="P91" s="834"/>
      <c r="Q91" s="834"/>
      <c r="R91" s="834"/>
      <c r="S91" s="834"/>
      <c r="T91" s="834"/>
      <c r="U91" s="835"/>
      <c r="V91" s="793"/>
      <c r="W91" s="793"/>
      <c r="X91" s="794"/>
      <c r="Y91" s="409"/>
      <c r="Z91" s="403"/>
      <c r="AA91" s="189"/>
      <c r="AB91" s="189"/>
      <c r="AC91" s="189"/>
      <c r="AD91" s="189"/>
      <c r="AE91" s="189"/>
      <c r="AF91" s="189"/>
      <c r="AG91" s="189"/>
      <c r="AH91" s="189"/>
    </row>
    <row r="92" spans="1:34" s="188" customFormat="1" ht="18" customHeight="1">
      <c r="A92" s="403"/>
      <c r="B92" s="942"/>
      <c r="C92" s="810"/>
      <c r="D92" s="811"/>
      <c r="E92" s="811"/>
      <c r="F92" s="811"/>
      <c r="G92" s="812"/>
      <c r="H92" s="450" t="s">
        <v>234</v>
      </c>
      <c r="I92" s="424">
        <v>15</v>
      </c>
      <c r="J92" s="427" t="s">
        <v>220</v>
      </c>
      <c r="K92" s="425">
        <v>12</v>
      </c>
      <c r="L92" s="427" t="s">
        <v>220</v>
      </c>
      <c r="M92" s="425">
        <v>30</v>
      </c>
      <c r="N92" s="427" t="s">
        <v>235</v>
      </c>
      <c r="O92" s="417" t="s">
        <v>223</v>
      </c>
      <c r="P92" s="427" t="s">
        <v>234</v>
      </c>
      <c r="Q92" s="805">
        <v>0.08</v>
      </c>
      <c r="R92" s="805"/>
      <c r="S92" s="427" t="s">
        <v>235</v>
      </c>
      <c r="T92" s="418"/>
      <c r="U92" s="419"/>
      <c r="V92" s="795"/>
      <c r="W92" s="795"/>
      <c r="X92" s="796"/>
      <c r="Y92" s="409"/>
      <c r="Z92" s="403"/>
      <c r="AA92" s="189"/>
      <c r="AB92" s="189"/>
      <c r="AC92" s="189"/>
      <c r="AD92" s="189"/>
      <c r="AE92" s="189"/>
      <c r="AF92" s="189"/>
      <c r="AG92" s="189"/>
      <c r="AH92" s="189"/>
    </row>
    <row r="93" spans="1:34" s="188" customFormat="1" ht="69.75" customHeight="1">
      <c r="A93" s="403"/>
      <c r="B93" s="461"/>
      <c r="C93" s="849" t="s">
        <v>254</v>
      </c>
      <c r="D93" s="850"/>
      <c r="E93" s="850"/>
      <c r="F93" s="850"/>
      <c r="G93" s="850"/>
      <c r="H93" s="850"/>
      <c r="I93" s="850"/>
      <c r="J93" s="850"/>
      <c r="K93" s="850"/>
      <c r="L93" s="850"/>
      <c r="M93" s="850"/>
      <c r="N93" s="850"/>
      <c r="O93" s="850"/>
      <c r="P93" s="850"/>
      <c r="Q93" s="850"/>
      <c r="R93" s="850"/>
      <c r="S93" s="850"/>
      <c r="T93" s="850"/>
      <c r="U93" s="850"/>
      <c r="V93" s="850"/>
      <c r="W93" s="850"/>
      <c r="X93" s="851"/>
      <c r="Y93" s="409"/>
      <c r="Z93" s="403"/>
      <c r="AA93" s="189"/>
      <c r="AB93" s="189"/>
      <c r="AC93" s="189"/>
      <c r="AD93" s="189"/>
      <c r="AE93" s="189"/>
      <c r="AF93" s="189"/>
      <c r="AG93" s="189"/>
      <c r="AH93" s="189"/>
    </row>
    <row r="94" spans="1:34" s="188" customFormat="1" ht="18" customHeight="1">
      <c r="A94" s="403"/>
      <c r="B94" s="461"/>
      <c r="C94" s="433" t="s">
        <v>255</v>
      </c>
      <c r="D94" s="434"/>
      <c r="E94" s="434"/>
      <c r="F94" s="434"/>
      <c r="G94" s="434"/>
      <c r="H94" s="434"/>
      <c r="I94" s="434"/>
      <c r="J94" s="434"/>
      <c r="K94" s="434"/>
      <c r="L94" s="434"/>
      <c r="M94" s="434"/>
      <c r="N94" s="434"/>
      <c r="O94" s="417"/>
      <c r="P94" s="434"/>
      <c r="Q94" s="462"/>
      <c r="R94" s="431"/>
      <c r="S94" s="431"/>
      <c r="T94" s="463"/>
      <c r="U94" s="464"/>
      <c r="V94" s="905">
        <f>V80+V82+V88</f>
        <v>0.10212499999999999</v>
      </c>
      <c r="W94" s="906"/>
      <c r="X94" s="907"/>
      <c r="Y94" s="409"/>
      <c r="Z94" s="403"/>
      <c r="AA94" s="189"/>
      <c r="AB94" s="189"/>
      <c r="AC94" s="189"/>
      <c r="AD94" s="189"/>
      <c r="AE94" s="189"/>
      <c r="AF94" s="189"/>
      <c r="AG94" s="189"/>
      <c r="AH94" s="189"/>
    </row>
    <row r="95" spans="1:34" s="188" customFormat="1" ht="19.5" customHeight="1">
      <c r="A95" s="403"/>
      <c r="B95" s="441" t="s">
        <v>211</v>
      </c>
      <c r="C95" s="433" t="s">
        <v>256</v>
      </c>
      <c r="D95" s="434"/>
      <c r="E95" s="434"/>
      <c r="F95" s="434"/>
      <c r="G95" s="434"/>
      <c r="H95" s="434"/>
      <c r="I95" s="434"/>
      <c r="J95" s="434"/>
      <c r="K95" s="434"/>
      <c r="L95" s="434"/>
      <c r="M95" s="434"/>
      <c r="N95" s="434"/>
      <c r="O95" s="417"/>
      <c r="P95" s="434"/>
      <c r="Q95" s="462"/>
      <c r="R95" s="431"/>
      <c r="S95" s="431"/>
      <c r="T95" s="463"/>
      <c r="U95" s="464"/>
      <c r="V95" s="399"/>
      <c r="W95" s="400"/>
      <c r="X95" s="401"/>
      <c r="Y95" s="409"/>
      <c r="Z95" s="403"/>
      <c r="AA95" s="189"/>
      <c r="AB95" s="189"/>
      <c r="AC95" s="189"/>
      <c r="AD95" s="189"/>
      <c r="AE95" s="189"/>
      <c r="AF95" s="189"/>
      <c r="AG95" s="189"/>
      <c r="AH95" s="189"/>
    </row>
    <row r="96" spans="1:34" s="188" customFormat="1" ht="18.75" customHeight="1">
      <c r="A96" s="403"/>
      <c r="B96" s="403"/>
      <c r="C96" s="433"/>
      <c r="D96" s="434"/>
      <c r="E96" s="434"/>
      <c r="F96" s="434"/>
      <c r="G96" s="434"/>
      <c r="H96" s="434" t="s">
        <v>234</v>
      </c>
      <c r="I96" s="465">
        <f>V25</f>
        <v>0.15555555555555556</v>
      </c>
      <c r="J96" s="466" t="s">
        <v>237</v>
      </c>
      <c r="K96" s="465">
        <f>V32</f>
        <v>1.0133333333333333E-3</v>
      </c>
      <c r="L96" s="466" t="s">
        <v>237</v>
      </c>
      <c r="M96" s="465">
        <f>V54</f>
        <v>3.6665833333333335E-2</v>
      </c>
      <c r="N96" s="434" t="s">
        <v>235</v>
      </c>
      <c r="O96" s="427" t="s">
        <v>223</v>
      </c>
      <c r="P96" s="434" t="s">
        <v>234</v>
      </c>
      <c r="Q96" s="784">
        <f>V94</f>
        <v>0.10212499999999999</v>
      </c>
      <c r="R96" s="784"/>
      <c r="S96" s="431" t="s">
        <v>235</v>
      </c>
      <c r="T96" s="463"/>
      <c r="U96" s="435"/>
      <c r="V96" s="908">
        <f>(I96+K96+M96)*(Q96)</f>
        <v>1.9734096006944445E-2</v>
      </c>
      <c r="W96" s="788"/>
      <c r="X96" s="909"/>
      <c r="Y96" s="409"/>
      <c r="Z96" s="403"/>
      <c r="AA96" s="189"/>
      <c r="AB96" s="189"/>
      <c r="AC96" s="189"/>
      <c r="AD96" s="189"/>
      <c r="AE96" s="189"/>
      <c r="AF96" s="189"/>
      <c r="AG96" s="189"/>
      <c r="AH96" s="189"/>
    </row>
    <row r="97" spans="1:34" s="188" customFormat="1" ht="21" customHeight="1">
      <c r="A97" s="403"/>
      <c r="B97" s="403"/>
      <c r="C97" s="910" t="s">
        <v>244</v>
      </c>
      <c r="D97" s="911"/>
      <c r="E97" s="911"/>
      <c r="F97" s="911"/>
      <c r="G97" s="911"/>
      <c r="H97" s="911"/>
      <c r="I97" s="911"/>
      <c r="J97" s="911"/>
      <c r="K97" s="911"/>
      <c r="L97" s="911"/>
      <c r="M97" s="911"/>
      <c r="N97" s="911"/>
      <c r="O97" s="911"/>
      <c r="P97" s="911"/>
      <c r="Q97" s="911"/>
      <c r="R97" s="911"/>
      <c r="S97" s="911"/>
      <c r="T97" s="911"/>
      <c r="U97" s="912"/>
      <c r="V97" s="913">
        <f>SUM(V80,V81,V82,V96,V88)</f>
        <v>0.15398242934027781</v>
      </c>
      <c r="W97" s="914"/>
      <c r="X97" s="915"/>
      <c r="Y97" s="409"/>
      <c r="Z97" s="403"/>
      <c r="AA97" s="189"/>
      <c r="AB97" s="189"/>
      <c r="AC97" s="189"/>
      <c r="AD97" s="189"/>
      <c r="AE97" s="189"/>
      <c r="AF97" s="189"/>
      <c r="AG97" s="189"/>
      <c r="AH97" s="189"/>
    </row>
    <row r="98" spans="1:34" ht="15">
      <c r="A98" s="403"/>
      <c r="B98" s="403"/>
      <c r="C98" s="403"/>
      <c r="D98" s="404"/>
      <c r="E98" s="403"/>
      <c r="F98" s="405"/>
      <c r="G98" s="405"/>
      <c r="H98" s="403"/>
      <c r="I98" s="403"/>
      <c r="J98" s="405"/>
      <c r="K98" s="403"/>
      <c r="L98" s="403"/>
      <c r="M98" s="403"/>
      <c r="N98" s="403"/>
      <c r="O98" s="403"/>
      <c r="P98" s="403"/>
      <c r="Q98" s="403"/>
      <c r="R98" s="403"/>
      <c r="S98" s="403"/>
      <c r="T98" s="406"/>
      <c r="U98" s="406"/>
      <c r="V98" s="407"/>
      <c r="W98" s="408"/>
      <c r="X98" s="408"/>
      <c r="Y98" s="409"/>
      <c r="Z98" s="403"/>
    </row>
    <row r="99" spans="1:34" s="188" customFormat="1" ht="21" customHeight="1">
      <c r="A99" s="403"/>
      <c r="B99" s="403"/>
      <c r="C99" s="916" t="s">
        <v>257</v>
      </c>
      <c r="D99" s="916"/>
      <c r="E99" s="916"/>
      <c r="F99" s="916"/>
      <c r="G99" s="916"/>
      <c r="H99" s="917"/>
      <c r="I99" s="917"/>
      <c r="J99" s="917"/>
      <c r="K99" s="917"/>
      <c r="L99" s="917"/>
      <c r="M99" s="917"/>
      <c r="N99" s="917"/>
      <c r="O99" s="917"/>
      <c r="P99" s="917"/>
      <c r="Q99" s="917"/>
      <c r="R99" s="917"/>
      <c r="S99" s="917"/>
      <c r="T99" s="917"/>
      <c r="U99" s="917"/>
      <c r="V99" s="917"/>
      <c r="W99" s="917"/>
      <c r="X99" s="917"/>
      <c r="Y99" s="409"/>
      <c r="Z99" s="403"/>
      <c r="AA99" s="189"/>
      <c r="AB99" s="189"/>
      <c r="AC99" s="189"/>
      <c r="AD99" s="189"/>
      <c r="AE99" s="189"/>
      <c r="AF99" s="189"/>
      <c r="AG99" s="189"/>
      <c r="AH99" s="189"/>
    </row>
    <row r="100" spans="1:34" s="188" customFormat="1" ht="20.25" customHeight="1">
      <c r="A100" s="403"/>
      <c r="B100" s="403"/>
      <c r="C100" s="918" t="str">
        <f>C13</f>
        <v>Submódulo 2.2 - Encargos Previdenciários, FGTS e outras contribuições:</v>
      </c>
      <c r="D100" s="918"/>
      <c r="E100" s="918"/>
      <c r="F100" s="919"/>
      <c r="G100" s="919"/>
      <c r="H100" s="919"/>
      <c r="I100" s="919"/>
      <c r="J100" s="919"/>
      <c r="K100" s="919"/>
      <c r="L100" s="919"/>
      <c r="M100" s="919"/>
      <c r="N100" s="919"/>
      <c r="O100" s="919"/>
      <c r="P100" s="919"/>
      <c r="Q100" s="919"/>
      <c r="R100" s="919"/>
      <c r="S100" s="919"/>
      <c r="T100" s="919"/>
      <c r="U100" s="919"/>
      <c r="V100" s="920">
        <f>(V13)</f>
        <v>0.3680000000000001</v>
      </c>
      <c r="W100" s="921"/>
      <c r="X100" s="921"/>
      <c r="Y100" s="409"/>
      <c r="Z100" s="403"/>
      <c r="AA100" s="189"/>
      <c r="AB100" s="189"/>
      <c r="AC100" s="189"/>
      <c r="AD100" s="189"/>
      <c r="AE100" s="189"/>
      <c r="AF100" s="189"/>
      <c r="AG100" s="189"/>
      <c r="AH100" s="189"/>
    </row>
    <row r="101" spans="1:34" s="188" customFormat="1" ht="23.25" customHeight="1">
      <c r="A101" s="403"/>
      <c r="B101" s="403"/>
      <c r="C101" s="918" t="str">
        <f>C25</f>
        <v>Submódulo 2.3 - 13º Salário e Adiconal de Férias:</v>
      </c>
      <c r="D101" s="918"/>
      <c r="E101" s="918"/>
      <c r="F101" s="919"/>
      <c r="G101" s="919"/>
      <c r="H101" s="919"/>
      <c r="I101" s="919"/>
      <c r="J101" s="919"/>
      <c r="K101" s="919"/>
      <c r="L101" s="919"/>
      <c r="M101" s="919"/>
      <c r="N101" s="919"/>
      <c r="O101" s="919"/>
      <c r="P101" s="919"/>
      <c r="Q101" s="919"/>
      <c r="R101" s="919"/>
      <c r="S101" s="919"/>
      <c r="T101" s="919"/>
      <c r="U101" s="919"/>
      <c r="V101" s="920">
        <f>(V25)</f>
        <v>0.15555555555555556</v>
      </c>
      <c r="W101" s="921"/>
      <c r="X101" s="921"/>
      <c r="Y101" s="409"/>
      <c r="Z101" s="403"/>
      <c r="AA101" s="189"/>
      <c r="AB101" s="189"/>
      <c r="AC101" s="189"/>
      <c r="AD101" s="189"/>
      <c r="AE101" s="189"/>
      <c r="AF101" s="189"/>
      <c r="AG101" s="189"/>
      <c r="AH101" s="189"/>
    </row>
    <row r="102" spans="1:34" s="188" customFormat="1" ht="22.5" customHeight="1">
      <c r="A102" s="403"/>
      <c r="B102" s="403"/>
      <c r="C102" s="918" t="str">
        <f>C32</f>
        <v>Submódulo 2.4 - Afastamento Maternidade:</v>
      </c>
      <c r="D102" s="918"/>
      <c r="E102" s="918"/>
      <c r="F102" s="919"/>
      <c r="G102" s="919"/>
      <c r="H102" s="919"/>
      <c r="I102" s="919"/>
      <c r="J102" s="919"/>
      <c r="K102" s="919"/>
      <c r="L102" s="919"/>
      <c r="M102" s="919"/>
      <c r="N102" s="919"/>
      <c r="O102" s="919"/>
      <c r="P102" s="919"/>
      <c r="Q102" s="919"/>
      <c r="R102" s="919"/>
      <c r="S102" s="919"/>
      <c r="T102" s="919"/>
      <c r="U102" s="919"/>
      <c r="V102" s="920">
        <f>(V32)</f>
        <v>1.0133333333333333E-3</v>
      </c>
      <c r="W102" s="921"/>
      <c r="X102" s="921"/>
      <c r="Y102" s="409"/>
      <c r="Z102" s="403"/>
      <c r="AA102" s="189"/>
      <c r="AB102" s="189"/>
      <c r="AC102" s="189"/>
      <c r="AD102" s="189"/>
      <c r="AE102" s="189"/>
      <c r="AF102" s="189"/>
      <c r="AG102" s="189"/>
      <c r="AH102" s="189"/>
    </row>
    <row r="103" spans="1:34" s="188" customFormat="1" ht="24" customHeight="1">
      <c r="A103" s="403"/>
      <c r="B103" s="403"/>
      <c r="C103" s="918" t="str">
        <f>C54</f>
        <v>Módulo 3 - Provisão para Rescisão</v>
      </c>
      <c r="D103" s="918"/>
      <c r="E103" s="918"/>
      <c r="F103" s="919"/>
      <c r="G103" s="919"/>
      <c r="H103" s="919"/>
      <c r="I103" s="919"/>
      <c r="J103" s="919"/>
      <c r="K103" s="919"/>
      <c r="L103" s="919"/>
      <c r="M103" s="919"/>
      <c r="N103" s="919"/>
      <c r="O103" s="919"/>
      <c r="P103" s="919"/>
      <c r="Q103" s="919"/>
      <c r="R103" s="919"/>
      <c r="S103" s="919"/>
      <c r="T103" s="919"/>
      <c r="U103" s="919"/>
      <c r="V103" s="920">
        <f>(V54)</f>
        <v>3.6665833333333335E-2</v>
      </c>
      <c r="W103" s="921"/>
      <c r="X103" s="921"/>
      <c r="Y103" s="409"/>
      <c r="Z103" s="403"/>
      <c r="AA103" s="189"/>
      <c r="AB103" s="189"/>
      <c r="AC103" s="189"/>
      <c r="AD103" s="189"/>
      <c r="AE103" s="189"/>
      <c r="AF103" s="189"/>
      <c r="AG103" s="189"/>
      <c r="AH103" s="189"/>
    </row>
    <row r="104" spans="1:34" s="188" customFormat="1" ht="29.25" customHeight="1">
      <c r="A104" s="403"/>
      <c r="B104" s="403"/>
      <c r="C104" s="918" t="str">
        <f>C97</f>
        <v>Módulo 4 - Custo de Reposição do Profissional Ausente</v>
      </c>
      <c r="D104" s="918"/>
      <c r="E104" s="918"/>
      <c r="F104" s="919"/>
      <c r="G104" s="919"/>
      <c r="H104" s="919"/>
      <c r="I104" s="919"/>
      <c r="J104" s="919"/>
      <c r="K104" s="919"/>
      <c r="L104" s="919"/>
      <c r="M104" s="919"/>
      <c r="N104" s="919"/>
      <c r="O104" s="919"/>
      <c r="P104" s="919"/>
      <c r="Q104" s="919"/>
      <c r="R104" s="919"/>
      <c r="S104" s="919"/>
      <c r="T104" s="919"/>
      <c r="U104" s="919"/>
      <c r="V104" s="920">
        <f>V97</f>
        <v>0.15398242934027781</v>
      </c>
      <c r="W104" s="921"/>
      <c r="X104" s="921"/>
      <c r="Y104" s="409"/>
      <c r="Z104" s="403"/>
      <c r="AA104" s="189"/>
      <c r="AB104" s="189"/>
      <c r="AC104" s="189"/>
      <c r="AD104" s="189"/>
      <c r="AE104" s="189"/>
      <c r="AF104" s="189"/>
      <c r="AG104" s="189"/>
      <c r="AH104" s="189"/>
    </row>
    <row r="105" spans="1:34" s="188" customFormat="1" ht="21" customHeight="1">
      <c r="A105" s="403"/>
      <c r="B105" s="403"/>
      <c r="C105" s="922" t="s">
        <v>258</v>
      </c>
      <c r="D105" s="922"/>
      <c r="E105" s="922"/>
      <c r="F105" s="923"/>
      <c r="G105" s="923"/>
      <c r="H105" s="923"/>
      <c r="I105" s="923"/>
      <c r="J105" s="923"/>
      <c r="K105" s="923"/>
      <c r="L105" s="923"/>
      <c r="M105" s="923"/>
      <c r="N105" s="923"/>
      <c r="O105" s="923"/>
      <c r="P105" s="923"/>
      <c r="Q105" s="923"/>
      <c r="R105" s="923"/>
      <c r="S105" s="923"/>
      <c r="T105" s="923"/>
      <c r="U105" s="923"/>
      <c r="V105" s="924">
        <f>SUM(V100:X104)</f>
        <v>0.7152171515625001</v>
      </c>
      <c r="W105" s="925"/>
      <c r="X105" s="925"/>
      <c r="Y105" s="409"/>
      <c r="Z105" s="403"/>
      <c r="AA105" s="189"/>
      <c r="AB105" s="189"/>
      <c r="AC105" s="189"/>
      <c r="AD105" s="189"/>
      <c r="AE105" s="189"/>
      <c r="AF105" s="189"/>
      <c r="AG105" s="189"/>
      <c r="AH105" s="189"/>
    </row>
    <row r="106" spans="1:34" ht="15">
      <c r="A106" s="403"/>
      <c r="B106" s="403"/>
      <c r="C106" s="403"/>
      <c r="D106" s="404"/>
      <c r="E106" s="403"/>
      <c r="F106" s="405"/>
      <c r="G106" s="405"/>
      <c r="H106" s="403"/>
      <c r="I106" s="403"/>
      <c r="J106" s="405"/>
      <c r="K106" s="403"/>
      <c r="L106" s="403"/>
      <c r="M106" s="403"/>
      <c r="N106" s="403"/>
      <c r="O106" s="403"/>
      <c r="P106" s="403"/>
      <c r="Q106" s="403"/>
      <c r="R106" s="403"/>
      <c r="S106" s="403"/>
      <c r="T106" s="406"/>
      <c r="U106" s="406"/>
      <c r="V106" s="407"/>
      <c r="W106" s="408"/>
      <c r="X106" s="408"/>
      <c r="Y106" s="409"/>
      <c r="Z106" s="403"/>
    </row>
    <row r="107" spans="1:34" ht="15">
      <c r="A107" s="403"/>
      <c r="B107" s="403"/>
      <c r="C107" s="403"/>
      <c r="D107" s="404"/>
      <c r="E107" s="403"/>
      <c r="F107" s="405"/>
      <c r="G107" s="405"/>
      <c r="H107" s="403"/>
      <c r="I107" s="403"/>
      <c r="J107" s="405"/>
      <c r="K107" s="403"/>
      <c r="L107" s="403"/>
      <c r="M107" s="403"/>
      <c r="N107" s="403"/>
      <c r="O107" s="403"/>
      <c r="P107" s="403"/>
      <c r="Q107" s="403"/>
      <c r="R107" s="403"/>
      <c r="S107" s="403"/>
      <c r="T107" s="406"/>
      <c r="U107" s="406"/>
      <c r="V107" s="407"/>
      <c r="W107" s="408"/>
      <c r="X107" s="408"/>
      <c r="Y107" s="409"/>
      <c r="Z107" s="403"/>
    </row>
    <row r="108" spans="1:34">
      <c r="A108" s="403"/>
      <c r="B108" s="403"/>
      <c r="C108" s="926" t="s">
        <v>259</v>
      </c>
      <c r="D108" s="926"/>
      <c r="E108" s="467" t="s">
        <v>260</v>
      </c>
      <c r="F108" s="927" t="s">
        <v>261</v>
      </c>
      <c r="G108" s="927"/>
      <c r="H108" s="928" t="s">
        <v>262</v>
      </c>
      <c r="I108" s="928"/>
      <c r="J108" s="928"/>
      <c r="K108" s="928"/>
      <c r="L108" s="928"/>
      <c r="M108" s="928"/>
      <c r="N108" s="928"/>
      <c r="O108" s="928"/>
      <c r="P108" s="928"/>
      <c r="Q108" s="928"/>
      <c r="R108" s="928"/>
      <c r="S108" s="928"/>
      <c r="T108" s="928"/>
      <c r="U108" s="928"/>
      <c r="V108" s="928"/>
      <c r="W108" s="928"/>
      <c r="X108" s="928"/>
      <c r="Y108" s="409"/>
      <c r="Z108" s="403"/>
    </row>
    <row r="109" spans="1:34" ht="18" customHeight="1">
      <c r="A109" s="403"/>
      <c r="B109" s="403"/>
      <c r="C109" s="929" t="s">
        <v>263</v>
      </c>
      <c r="D109" s="930"/>
      <c r="E109" s="402">
        <v>0.03</v>
      </c>
      <c r="F109" s="931">
        <v>515</v>
      </c>
      <c r="G109" s="932"/>
      <c r="H109" s="933" t="s">
        <v>264</v>
      </c>
      <c r="I109" s="934"/>
      <c r="J109" s="934"/>
      <c r="K109" s="934"/>
      <c r="L109" s="934"/>
      <c r="M109" s="934"/>
      <c r="N109" s="934"/>
      <c r="O109" s="934"/>
      <c r="P109" s="934"/>
      <c r="Q109" s="934"/>
      <c r="R109" s="934"/>
      <c r="S109" s="934"/>
      <c r="T109" s="934"/>
      <c r="U109" s="934"/>
      <c r="V109" s="934"/>
      <c r="W109" s="934"/>
      <c r="X109" s="935"/>
      <c r="Y109" s="468"/>
      <c r="Z109" s="406"/>
      <c r="AA109" s="193"/>
      <c r="AB109" s="194"/>
      <c r="AC109" s="194"/>
      <c r="AD109" s="188"/>
      <c r="AE109" s="188"/>
    </row>
    <row r="110" spans="1:34" ht="17.25" customHeight="1">
      <c r="A110" s="403"/>
      <c r="B110" s="403"/>
      <c r="C110" s="403"/>
      <c r="D110" s="404"/>
      <c r="E110" s="403"/>
      <c r="F110" s="936" t="s">
        <v>265</v>
      </c>
      <c r="G110" s="937"/>
      <c r="H110" s="937"/>
      <c r="I110" s="937"/>
      <c r="J110" s="937"/>
      <c r="K110" s="937"/>
      <c r="L110" s="937"/>
      <c r="M110" s="937"/>
      <c r="N110" s="937"/>
      <c r="O110" s="937"/>
      <c r="P110" s="937"/>
      <c r="Q110" s="937"/>
      <c r="R110" s="937"/>
      <c r="S110" s="937"/>
      <c r="T110" s="937"/>
      <c r="U110" s="937"/>
      <c r="V110" s="937"/>
      <c r="W110" s="937"/>
      <c r="X110" s="938"/>
      <c r="Y110" s="409"/>
      <c r="Z110" s="403"/>
    </row>
    <row r="111" spans="1:34" ht="15">
      <c r="A111" s="403"/>
      <c r="B111" s="403"/>
      <c r="C111" s="403"/>
      <c r="D111" s="404"/>
      <c r="E111" s="403"/>
      <c r="F111" s="405"/>
      <c r="G111" s="405"/>
      <c r="H111" s="403"/>
      <c r="I111" s="403"/>
      <c r="J111" s="405"/>
      <c r="K111" s="403"/>
      <c r="L111" s="403"/>
      <c r="M111" s="403"/>
      <c r="N111" s="403"/>
      <c r="O111" s="403"/>
      <c r="P111" s="403"/>
      <c r="Q111" s="403"/>
      <c r="R111" s="403"/>
      <c r="S111" s="403"/>
      <c r="T111" s="406"/>
      <c r="U111" s="406"/>
      <c r="V111" s="407"/>
      <c r="W111" s="408"/>
      <c r="X111" s="408"/>
      <c r="Y111" s="409"/>
      <c r="Z111" s="403"/>
    </row>
    <row r="112" spans="1:34" ht="15">
      <c r="A112" s="403"/>
      <c r="B112" s="403"/>
      <c r="C112" s="403"/>
      <c r="D112" s="404"/>
      <c r="E112" s="403"/>
      <c r="F112" s="405"/>
      <c r="G112" s="405"/>
      <c r="H112" s="403"/>
      <c r="I112" s="403"/>
      <c r="J112" s="405"/>
      <c r="K112" s="403"/>
      <c r="L112" s="403"/>
      <c r="M112" s="403"/>
      <c r="N112" s="403"/>
      <c r="O112" s="403"/>
      <c r="P112" s="403"/>
      <c r="Q112" s="403"/>
      <c r="R112" s="403"/>
      <c r="S112" s="403"/>
      <c r="T112" s="406"/>
      <c r="U112" s="406"/>
      <c r="V112" s="407"/>
      <c r="W112" s="408"/>
      <c r="X112" s="408"/>
      <c r="Y112" s="409"/>
      <c r="Z112" s="403"/>
    </row>
    <row r="113" spans="1:26" ht="15">
      <c r="A113" s="403"/>
      <c r="B113" s="403"/>
      <c r="C113" s="403"/>
      <c r="D113" s="404"/>
      <c r="E113" s="403"/>
      <c r="F113" s="405"/>
      <c r="G113" s="405"/>
      <c r="H113" s="403"/>
      <c r="I113" s="403"/>
      <c r="J113" s="405"/>
      <c r="K113" s="403"/>
      <c r="L113" s="403"/>
      <c r="M113" s="403"/>
      <c r="N113" s="403"/>
      <c r="O113" s="403"/>
      <c r="P113" s="403"/>
      <c r="Q113" s="403"/>
      <c r="R113" s="403"/>
      <c r="S113" s="403"/>
      <c r="T113" s="406"/>
      <c r="U113" s="406"/>
      <c r="V113" s="407"/>
      <c r="W113" s="408"/>
      <c r="X113" s="408"/>
      <c r="Y113" s="409"/>
      <c r="Z113" s="403"/>
    </row>
    <row r="114" spans="1:26" ht="15">
      <c r="A114" s="403"/>
      <c r="B114" s="403"/>
      <c r="C114" s="403"/>
      <c r="D114" s="404"/>
      <c r="E114" s="403"/>
      <c r="F114" s="405"/>
      <c r="G114" s="405"/>
      <c r="H114" s="403"/>
      <c r="I114" s="403"/>
      <c r="J114" s="405"/>
      <c r="K114" s="403"/>
      <c r="L114" s="403"/>
      <c r="M114" s="403"/>
      <c r="N114" s="403"/>
      <c r="O114" s="403"/>
      <c r="P114" s="403"/>
      <c r="Q114" s="403"/>
      <c r="R114" s="403"/>
      <c r="S114" s="403"/>
      <c r="T114" s="406"/>
      <c r="U114" s="406"/>
      <c r="V114" s="407"/>
      <c r="W114" s="408"/>
      <c r="X114" s="408"/>
      <c r="Y114" s="409"/>
      <c r="Z114" s="403"/>
    </row>
    <row r="115" spans="1:26" ht="15">
      <c r="A115" s="403"/>
      <c r="B115" s="403"/>
      <c r="C115" s="403"/>
      <c r="D115" s="404"/>
      <c r="E115" s="403"/>
      <c r="F115" s="405"/>
      <c r="G115" s="405"/>
      <c r="H115" s="403"/>
      <c r="I115" s="403"/>
      <c r="J115" s="405"/>
      <c r="K115" s="403"/>
      <c r="L115" s="403"/>
      <c r="M115" s="403"/>
      <c r="N115" s="403"/>
      <c r="O115" s="403"/>
      <c r="P115" s="403"/>
      <c r="Q115" s="403"/>
      <c r="R115" s="403"/>
      <c r="S115" s="403"/>
      <c r="T115" s="406"/>
      <c r="U115" s="406"/>
      <c r="V115" s="407"/>
      <c r="W115" s="408"/>
      <c r="X115" s="408"/>
      <c r="Y115" s="409"/>
      <c r="Z115" s="403"/>
    </row>
    <row r="116" spans="1:26" ht="15">
      <c r="A116" s="403"/>
      <c r="B116" s="403"/>
      <c r="C116" s="403"/>
      <c r="D116" s="404"/>
      <c r="E116" s="403"/>
      <c r="F116" s="405"/>
      <c r="G116" s="405"/>
      <c r="H116" s="403"/>
      <c r="I116" s="403"/>
      <c r="J116" s="405"/>
      <c r="K116" s="403"/>
      <c r="L116" s="403"/>
      <c r="M116" s="403"/>
      <c r="N116" s="403"/>
      <c r="O116" s="403"/>
      <c r="P116" s="403"/>
      <c r="Q116" s="403"/>
      <c r="R116" s="403"/>
      <c r="S116" s="403"/>
      <c r="T116" s="406"/>
      <c r="U116" s="406"/>
      <c r="V116" s="407"/>
      <c r="W116" s="408"/>
      <c r="X116" s="408"/>
      <c r="Y116" s="409"/>
      <c r="Z116" s="403"/>
    </row>
    <row r="117" spans="1:26" ht="15">
      <c r="A117" s="403"/>
      <c r="B117" s="403"/>
      <c r="C117" s="403"/>
      <c r="D117" s="404"/>
      <c r="E117" s="403"/>
      <c r="F117" s="405"/>
      <c r="G117" s="405"/>
      <c r="H117" s="403"/>
      <c r="I117" s="403"/>
      <c r="J117" s="405"/>
      <c r="K117" s="403"/>
      <c r="L117" s="403"/>
      <c r="M117" s="403"/>
      <c r="N117" s="403"/>
      <c r="O117" s="403"/>
      <c r="P117" s="403"/>
      <c r="Q117" s="403"/>
      <c r="R117" s="403"/>
      <c r="S117" s="403"/>
      <c r="T117" s="406"/>
      <c r="U117" s="406"/>
      <c r="V117" s="407"/>
      <c r="W117" s="408"/>
      <c r="X117" s="408"/>
      <c r="Y117" s="409"/>
      <c r="Z117" s="403"/>
    </row>
    <row r="118" spans="1:26" ht="15">
      <c r="A118" s="403"/>
      <c r="B118" s="403"/>
      <c r="C118" s="403"/>
      <c r="D118" s="404"/>
      <c r="E118" s="403"/>
      <c r="F118" s="405"/>
      <c r="G118" s="405"/>
      <c r="H118" s="403"/>
      <c r="I118" s="403"/>
      <c r="J118" s="405"/>
      <c r="K118" s="403"/>
      <c r="L118" s="403"/>
      <c r="M118" s="403"/>
      <c r="N118" s="403"/>
      <c r="O118" s="403"/>
      <c r="P118" s="403"/>
      <c r="Q118" s="403"/>
      <c r="R118" s="403"/>
      <c r="S118" s="403"/>
      <c r="T118" s="406"/>
      <c r="U118" s="406"/>
      <c r="V118" s="407"/>
      <c r="W118" s="408"/>
      <c r="X118" s="408"/>
      <c r="Y118" s="409"/>
      <c r="Z118" s="403"/>
    </row>
    <row r="119" spans="1:26" ht="15">
      <c r="A119" s="403"/>
      <c r="B119" s="403"/>
      <c r="C119" s="403"/>
      <c r="D119" s="404"/>
      <c r="E119" s="403"/>
      <c r="F119" s="405"/>
      <c r="G119" s="405"/>
      <c r="H119" s="403"/>
      <c r="I119" s="403"/>
      <c r="J119" s="405"/>
      <c r="K119" s="403"/>
      <c r="L119" s="403"/>
      <c r="M119" s="403"/>
      <c r="N119" s="403"/>
      <c r="O119" s="403"/>
      <c r="P119" s="403"/>
      <c r="Q119" s="403"/>
      <c r="R119" s="403"/>
      <c r="S119" s="403"/>
      <c r="T119" s="406"/>
      <c r="U119" s="406"/>
      <c r="V119" s="407"/>
      <c r="W119" s="408"/>
      <c r="X119" s="408"/>
      <c r="Y119" s="409"/>
      <c r="Z119" s="403"/>
    </row>
    <row r="120" spans="1:26" ht="15">
      <c r="A120" s="403"/>
      <c r="B120" s="403"/>
      <c r="C120" s="403"/>
      <c r="D120" s="404"/>
      <c r="E120" s="403"/>
      <c r="F120" s="405"/>
      <c r="G120" s="405"/>
      <c r="H120" s="403"/>
      <c r="I120" s="403"/>
      <c r="J120" s="405"/>
      <c r="K120" s="403"/>
      <c r="L120" s="403"/>
      <c r="M120" s="403"/>
      <c r="N120" s="403"/>
      <c r="O120" s="403"/>
      <c r="P120" s="403"/>
      <c r="Q120" s="403"/>
      <c r="R120" s="403"/>
      <c r="S120" s="403"/>
      <c r="T120" s="406"/>
      <c r="U120" s="406"/>
      <c r="V120" s="407"/>
      <c r="W120" s="408"/>
      <c r="X120" s="408"/>
      <c r="Y120" s="409"/>
      <c r="Z120" s="403"/>
    </row>
    <row r="121" spans="1:26" ht="15">
      <c r="A121" s="403"/>
      <c r="B121" s="403"/>
      <c r="C121" s="403"/>
      <c r="D121" s="404"/>
      <c r="E121" s="403"/>
      <c r="F121" s="405"/>
      <c r="G121" s="405"/>
      <c r="H121" s="403"/>
      <c r="I121" s="403"/>
      <c r="J121" s="405"/>
      <c r="K121" s="403"/>
      <c r="L121" s="403"/>
      <c r="M121" s="403"/>
      <c r="N121" s="403"/>
      <c r="O121" s="403"/>
      <c r="P121" s="403"/>
      <c r="Q121" s="403"/>
      <c r="R121" s="403"/>
      <c r="S121" s="403"/>
      <c r="T121" s="406"/>
      <c r="U121" s="406"/>
      <c r="V121" s="407"/>
      <c r="W121" s="408"/>
      <c r="X121" s="408"/>
      <c r="Y121" s="409"/>
      <c r="Z121" s="403"/>
    </row>
    <row r="122" spans="1:26" ht="15">
      <c r="A122" s="403"/>
      <c r="B122" s="403"/>
      <c r="C122" s="403"/>
      <c r="D122" s="404"/>
      <c r="E122" s="403"/>
      <c r="F122" s="405"/>
      <c r="G122" s="405"/>
      <c r="H122" s="403"/>
      <c r="I122" s="403"/>
      <c r="J122" s="405"/>
      <c r="K122" s="403"/>
      <c r="L122" s="403"/>
      <c r="M122" s="403"/>
      <c r="N122" s="403"/>
      <c r="O122" s="403"/>
      <c r="P122" s="403"/>
      <c r="Q122" s="403"/>
      <c r="R122" s="403"/>
      <c r="S122" s="403"/>
      <c r="T122" s="406"/>
      <c r="U122" s="406"/>
      <c r="V122" s="407"/>
      <c r="W122" s="408"/>
      <c r="X122" s="408"/>
      <c r="Y122" s="409"/>
      <c r="Z122" s="403"/>
    </row>
    <row r="123" spans="1:26" ht="15">
      <c r="A123" s="403"/>
      <c r="B123" s="403"/>
      <c r="C123" s="403"/>
      <c r="D123" s="404"/>
      <c r="E123" s="403"/>
      <c r="F123" s="405"/>
      <c r="G123" s="405"/>
      <c r="H123" s="403"/>
      <c r="I123" s="403"/>
      <c r="J123" s="405"/>
      <c r="K123" s="403"/>
      <c r="L123" s="403"/>
      <c r="M123" s="403"/>
      <c r="N123" s="403"/>
      <c r="O123" s="403"/>
      <c r="P123" s="403"/>
      <c r="Q123" s="403"/>
      <c r="R123" s="403"/>
      <c r="S123" s="403"/>
      <c r="T123" s="406"/>
      <c r="U123" s="406"/>
      <c r="V123" s="407"/>
      <c r="W123" s="408"/>
      <c r="X123" s="408"/>
      <c r="Y123" s="409"/>
      <c r="Z123" s="403"/>
    </row>
    <row r="124" spans="1:26" ht="15">
      <c r="A124" s="403"/>
      <c r="B124" s="403"/>
      <c r="C124" s="403"/>
      <c r="D124" s="404"/>
      <c r="E124" s="403"/>
      <c r="F124" s="405"/>
      <c r="G124" s="405"/>
      <c r="H124" s="403"/>
      <c r="I124" s="403"/>
      <c r="J124" s="405"/>
      <c r="K124" s="403"/>
      <c r="L124" s="403"/>
      <c r="M124" s="403"/>
      <c r="N124" s="403"/>
      <c r="O124" s="403"/>
      <c r="P124" s="403"/>
      <c r="Q124" s="403"/>
      <c r="R124" s="403"/>
      <c r="S124" s="403"/>
      <c r="T124" s="406"/>
      <c r="U124" s="406"/>
      <c r="V124" s="407"/>
      <c r="W124" s="408"/>
      <c r="X124" s="408"/>
      <c r="Y124" s="409"/>
      <c r="Z124" s="403"/>
    </row>
    <row r="125" spans="1:26" ht="15">
      <c r="A125" s="403"/>
      <c r="B125" s="403"/>
      <c r="C125" s="403"/>
      <c r="D125" s="404"/>
      <c r="E125" s="403"/>
      <c r="F125" s="405"/>
      <c r="G125" s="405"/>
      <c r="H125" s="403"/>
      <c r="I125" s="403"/>
      <c r="J125" s="405"/>
      <c r="K125" s="403"/>
      <c r="L125" s="403"/>
      <c r="M125" s="403"/>
      <c r="N125" s="403"/>
      <c r="O125" s="403"/>
      <c r="P125" s="403"/>
      <c r="Q125" s="403"/>
      <c r="R125" s="403"/>
      <c r="S125" s="403"/>
      <c r="T125" s="406"/>
      <c r="U125" s="406"/>
      <c r="V125" s="407"/>
      <c r="W125" s="408"/>
      <c r="X125" s="408"/>
      <c r="Y125" s="409"/>
      <c r="Z125" s="403"/>
    </row>
    <row r="126" spans="1:26" ht="15">
      <c r="A126" s="403"/>
      <c r="B126" s="403"/>
      <c r="C126" s="403"/>
      <c r="D126" s="404"/>
      <c r="E126" s="403"/>
      <c r="F126" s="405"/>
      <c r="G126" s="405"/>
      <c r="H126" s="403"/>
      <c r="I126" s="403"/>
      <c r="J126" s="405"/>
      <c r="K126" s="403"/>
      <c r="L126" s="403"/>
      <c r="M126" s="403"/>
      <c r="N126" s="403"/>
      <c r="O126" s="403"/>
      <c r="P126" s="403"/>
      <c r="Q126" s="403"/>
      <c r="R126" s="403"/>
      <c r="S126" s="403"/>
      <c r="T126" s="406"/>
      <c r="U126" s="406"/>
      <c r="V126" s="407"/>
      <c r="W126" s="408"/>
      <c r="X126" s="408"/>
      <c r="Y126" s="409"/>
      <c r="Z126" s="403"/>
    </row>
    <row r="127" spans="1:26" ht="15">
      <c r="A127" s="403"/>
      <c r="B127" s="403"/>
      <c r="C127" s="403"/>
      <c r="D127" s="404"/>
      <c r="E127" s="403"/>
      <c r="F127" s="405"/>
      <c r="G127" s="405"/>
      <c r="H127" s="403"/>
      <c r="I127" s="403"/>
      <c r="J127" s="405"/>
      <c r="K127" s="403"/>
      <c r="L127" s="403"/>
      <c r="M127" s="403"/>
      <c r="N127" s="403"/>
      <c r="O127" s="403"/>
      <c r="P127" s="403"/>
      <c r="Q127" s="403"/>
      <c r="R127" s="403"/>
      <c r="S127" s="403"/>
      <c r="T127" s="406"/>
      <c r="U127" s="406"/>
      <c r="V127" s="407"/>
      <c r="W127" s="408"/>
      <c r="X127" s="408"/>
      <c r="Y127" s="409"/>
      <c r="Z127" s="403"/>
    </row>
    <row r="128" spans="1:26" ht="15">
      <c r="A128" s="403"/>
      <c r="B128" s="403"/>
      <c r="C128" s="403"/>
      <c r="D128" s="404"/>
      <c r="E128" s="403"/>
      <c r="F128" s="405"/>
      <c r="G128" s="405"/>
      <c r="H128" s="403"/>
      <c r="I128" s="403"/>
      <c r="J128" s="405"/>
      <c r="K128" s="403"/>
      <c r="L128" s="403"/>
      <c r="M128" s="403"/>
      <c r="N128" s="403"/>
      <c r="O128" s="403"/>
      <c r="P128" s="403"/>
      <c r="Q128" s="403"/>
      <c r="R128" s="403"/>
      <c r="S128" s="403"/>
      <c r="T128" s="406"/>
      <c r="U128" s="406"/>
      <c r="V128" s="407"/>
      <c r="W128" s="408"/>
      <c r="X128" s="408"/>
      <c r="Y128" s="409"/>
      <c r="Z128" s="403"/>
    </row>
    <row r="129" spans="1:26" ht="15">
      <c r="A129" s="403"/>
      <c r="B129" s="403"/>
      <c r="C129" s="403"/>
      <c r="D129" s="404"/>
      <c r="E129" s="403"/>
      <c r="F129" s="405"/>
      <c r="G129" s="405"/>
      <c r="H129" s="403"/>
      <c r="I129" s="403"/>
      <c r="J129" s="405"/>
      <c r="K129" s="403"/>
      <c r="L129" s="403"/>
      <c r="M129" s="403"/>
      <c r="N129" s="403"/>
      <c r="O129" s="403"/>
      <c r="P129" s="403"/>
      <c r="Q129" s="403"/>
      <c r="R129" s="403"/>
      <c r="S129" s="403"/>
      <c r="T129" s="406"/>
      <c r="U129" s="406"/>
      <c r="V129" s="407"/>
      <c r="W129" s="408"/>
      <c r="X129" s="408"/>
      <c r="Y129" s="409"/>
      <c r="Z129" s="403"/>
    </row>
    <row r="130" spans="1:26" ht="15">
      <c r="A130" s="403"/>
      <c r="B130" s="403"/>
      <c r="C130" s="403"/>
      <c r="D130" s="404"/>
      <c r="E130" s="403"/>
      <c r="F130" s="405"/>
      <c r="G130" s="405"/>
      <c r="H130" s="403"/>
      <c r="I130" s="403"/>
      <c r="J130" s="405"/>
      <c r="K130" s="403"/>
      <c r="L130" s="403"/>
      <c r="M130" s="403"/>
      <c r="N130" s="403"/>
      <c r="O130" s="403"/>
      <c r="P130" s="403"/>
      <c r="Q130" s="403"/>
      <c r="R130" s="403"/>
      <c r="S130" s="403"/>
      <c r="T130" s="406"/>
      <c r="U130" s="406"/>
      <c r="V130" s="407"/>
      <c r="W130" s="408"/>
      <c r="X130" s="408"/>
      <c r="Y130" s="409"/>
      <c r="Z130" s="403"/>
    </row>
    <row r="131" spans="1:26" ht="15">
      <c r="A131" s="403"/>
      <c r="B131" s="403"/>
      <c r="C131" s="403"/>
      <c r="D131" s="404"/>
      <c r="E131" s="403"/>
      <c r="F131" s="405"/>
      <c r="G131" s="405"/>
      <c r="H131" s="403"/>
      <c r="I131" s="403"/>
      <c r="J131" s="405"/>
      <c r="K131" s="403"/>
      <c r="L131" s="403"/>
      <c r="M131" s="403"/>
      <c r="N131" s="403"/>
      <c r="O131" s="403"/>
      <c r="P131" s="403"/>
      <c r="Q131" s="403"/>
      <c r="R131" s="403"/>
      <c r="S131" s="403"/>
      <c r="T131" s="406"/>
      <c r="U131" s="406"/>
      <c r="V131" s="407"/>
      <c r="W131" s="408"/>
      <c r="X131" s="408"/>
      <c r="Y131" s="409"/>
      <c r="Z131" s="403"/>
    </row>
    <row r="132" spans="1:26" ht="15">
      <c r="A132" s="403"/>
      <c r="B132" s="403"/>
      <c r="C132" s="403"/>
      <c r="D132" s="404"/>
      <c r="E132" s="403"/>
      <c r="F132" s="405"/>
      <c r="G132" s="405"/>
      <c r="H132" s="403"/>
      <c r="I132" s="403"/>
      <c r="J132" s="405"/>
      <c r="K132" s="403"/>
      <c r="L132" s="403"/>
      <c r="M132" s="403"/>
      <c r="N132" s="403"/>
      <c r="O132" s="403"/>
      <c r="P132" s="403"/>
      <c r="Q132" s="403"/>
      <c r="R132" s="403"/>
      <c r="S132" s="403"/>
      <c r="T132" s="406"/>
      <c r="U132" s="406"/>
      <c r="V132" s="407"/>
      <c r="W132" s="408"/>
      <c r="X132" s="408"/>
      <c r="Y132" s="409"/>
      <c r="Z132" s="403"/>
    </row>
    <row r="133" spans="1:26" ht="15">
      <c r="A133" s="403"/>
      <c r="B133" s="403"/>
      <c r="C133" s="403"/>
      <c r="D133" s="404"/>
      <c r="E133" s="403"/>
      <c r="F133" s="405"/>
      <c r="G133" s="405"/>
      <c r="H133" s="403"/>
      <c r="I133" s="403"/>
      <c r="J133" s="405"/>
      <c r="K133" s="403"/>
      <c r="L133" s="403"/>
      <c r="M133" s="403"/>
      <c r="N133" s="403"/>
      <c r="O133" s="403"/>
      <c r="P133" s="403"/>
      <c r="Q133" s="403"/>
      <c r="R133" s="403"/>
      <c r="S133" s="403"/>
      <c r="T133" s="406"/>
      <c r="U133" s="406"/>
      <c r="V133" s="407"/>
      <c r="W133" s="408"/>
      <c r="X133" s="408"/>
      <c r="Y133" s="409"/>
      <c r="Z133" s="403"/>
    </row>
    <row r="134" spans="1:26" ht="15">
      <c r="A134" s="403"/>
      <c r="B134" s="403"/>
      <c r="C134" s="403"/>
      <c r="D134" s="404"/>
      <c r="E134" s="403"/>
      <c r="F134" s="405"/>
      <c r="G134" s="405"/>
      <c r="H134" s="403"/>
      <c r="I134" s="403"/>
      <c r="J134" s="405"/>
      <c r="K134" s="403"/>
      <c r="L134" s="403"/>
      <c r="M134" s="403"/>
      <c r="N134" s="403"/>
      <c r="O134" s="403"/>
      <c r="P134" s="403"/>
      <c r="Q134" s="403"/>
      <c r="R134" s="403"/>
      <c r="S134" s="403"/>
      <c r="T134" s="406"/>
      <c r="U134" s="406"/>
      <c r="V134" s="407"/>
      <c r="W134" s="408"/>
      <c r="X134" s="408"/>
      <c r="Y134" s="409"/>
      <c r="Z134" s="403"/>
    </row>
    <row r="135" spans="1:26" ht="15">
      <c r="A135" s="403"/>
      <c r="B135" s="403"/>
      <c r="C135" s="403"/>
      <c r="D135" s="404"/>
      <c r="E135" s="403"/>
      <c r="F135" s="405"/>
      <c r="G135" s="405"/>
      <c r="H135" s="403"/>
      <c r="I135" s="403"/>
      <c r="J135" s="405"/>
      <c r="K135" s="403"/>
      <c r="L135" s="403"/>
      <c r="M135" s="403"/>
      <c r="N135" s="403"/>
      <c r="O135" s="403"/>
      <c r="P135" s="403"/>
      <c r="Q135" s="403"/>
      <c r="R135" s="403"/>
      <c r="S135" s="403"/>
      <c r="T135" s="406"/>
      <c r="U135" s="406"/>
      <c r="V135" s="407"/>
      <c r="W135" s="408"/>
      <c r="X135" s="408"/>
      <c r="Y135" s="409"/>
      <c r="Z135" s="403"/>
    </row>
    <row r="136" spans="1:26" ht="15">
      <c r="A136" s="403"/>
      <c r="B136" s="403"/>
      <c r="C136" s="403"/>
      <c r="D136" s="404"/>
      <c r="E136" s="403"/>
      <c r="F136" s="405"/>
      <c r="G136" s="405"/>
      <c r="H136" s="403"/>
      <c r="I136" s="403"/>
      <c r="J136" s="405"/>
      <c r="K136" s="403"/>
      <c r="L136" s="403"/>
      <c r="M136" s="403"/>
      <c r="N136" s="403"/>
      <c r="O136" s="403"/>
      <c r="P136" s="403"/>
      <c r="Q136" s="403"/>
      <c r="R136" s="403"/>
      <c r="S136" s="403"/>
      <c r="T136" s="406"/>
      <c r="U136" s="406"/>
      <c r="V136" s="407"/>
      <c r="W136" s="408"/>
      <c r="X136" s="408"/>
      <c r="Y136" s="409"/>
      <c r="Z136" s="403"/>
    </row>
    <row r="137" spans="1:26" ht="15">
      <c r="A137" s="403"/>
      <c r="B137" s="403"/>
      <c r="C137" s="403"/>
      <c r="D137" s="404"/>
      <c r="E137" s="403"/>
      <c r="F137" s="405"/>
      <c r="G137" s="405"/>
      <c r="H137" s="403"/>
      <c r="I137" s="403"/>
      <c r="J137" s="405"/>
      <c r="K137" s="403"/>
      <c r="L137" s="403"/>
      <c r="M137" s="403"/>
      <c r="N137" s="403"/>
      <c r="O137" s="403"/>
      <c r="P137" s="403"/>
      <c r="Q137" s="403"/>
      <c r="R137" s="403"/>
      <c r="S137" s="403"/>
      <c r="T137" s="406"/>
      <c r="U137" s="406"/>
      <c r="V137" s="407"/>
      <c r="W137" s="408"/>
      <c r="X137" s="408"/>
      <c r="Y137" s="409"/>
      <c r="Z137" s="403"/>
    </row>
    <row r="138" spans="1:26" ht="15">
      <c r="A138" s="403"/>
      <c r="B138" s="403"/>
      <c r="C138" s="403"/>
      <c r="D138" s="404"/>
      <c r="E138" s="403"/>
      <c r="F138" s="405"/>
      <c r="G138" s="405"/>
      <c r="H138" s="403"/>
      <c r="I138" s="403"/>
      <c r="J138" s="405"/>
      <c r="K138" s="403"/>
      <c r="L138" s="403"/>
      <c r="M138" s="403"/>
      <c r="N138" s="403"/>
      <c r="O138" s="403"/>
      <c r="P138" s="403"/>
      <c r="Q138" s="403"/>
      <c r="R138" s="403"/>
      <c r="S138" s="403"/>
      <c r="T138" s="406"/>
      <c r="U138" s="406"/>
      <c r="V138" s="407"/>
      <c r="W138" s="408"/>
      <c r="X138" s="408"/>
      <c r="Y138" s="409"/>
      <c r="Z138" s="403"/>
    </row>
    <row r="139" spans="1:26" ht="15">
      <c r="A139" s="403"/>
      <c r="B139" s="403"/>
      <c r="C139" s="403"/>
      <c r="D139" s="404"/>
      <c r="E139" s="403"/>
      <c r="F139" s="405"/>
      <c r="G139" s="405"/>
      <c r="H139" s="403"/>
      <c r="I139" s="403"/>
      <c r="J139" s="405"/>
      <c r="K139" s="403"/>
      <c r="L139" s="403"/>
      <c r="M139" s="403"/>
      <c r="N139" s="403"/>
      <c r="O139" s="403"/>
      <c r="P139" s="403"/>
      <c r="Q139" s="403"/>
      <c r="R139" s="403"/>
      <c r="S139" s="403"/>
      <c r="T139" s="406"/>
      <c r="U139" s="406"/>
      <c r="V139" s="407"/>
      <c r="W139" s="408"/>
      <c r="X139" s="408"/>
      <c r="Y139" s="409"/>
      <c r="Z139" s="403"/>
    </row>
    <row r="140" spans="1:26" ht="15">
      <c r="A140" s="403"/>
      <c r="B140" s="403"/>
      <c r="C140" s="403"/>
      <c r="D140" s="404"/>
      <c r="E140" s="403"/>
      <c r="F140" s="405"/>
      <c r="G140" s="405"/>
      <c r="H140" s="403"/>
      <c r="I140" s="403"/>
      <c r="J140" s="405"/>
      <c r="K140" s="403"/>
      <c r="L140" s="403"/>
      <c r="M140" s="403"/>
      <c r="N140" s="403"/>
      <c r="O140" s="403"/>
      <c r="P140" s="403"/>
      <c r="Q140" s="403"/>
      <c r="R140" s="403"/>
      <c r="S140" s="403"/>
      <c r="T140" s="406"/>
      <c r="U140" s="406"/>
      <c r="V140" s="407"/>
      <c r="W140" s="408"/>
      <c r="X140" s="408"/>
      <c r="Y140" s="409"/>
      <c r="Z140" s="403"/>
    </row>
    <row r="141" spans="1:26" ht="15">
      <c r="A141" s="403"/>
      <c r="B141" s="403"/>
      <c r="C141" s="403"/>
      <c r="D141" s="404"/>
      <c r="E141" s="403"/>
      <c r="F141" s="405"/>
      <c r="G141" s="405"/>
      <c r="H141" s="403"/>
      <c r="I141" s="403"/>
      <c r="J141" s="405"/>
      <c r="K141" s="403"/>
      <c r="L141" s="403"/>
      <c r="M141" s="403"/>
      <c r="N141" s="403"/>
      <c r="O141" s="403"/>
      <c r="P141" s="403"/>
      <c r="Q141" s="403"/>
      <c r="R141" s="403"/>
      <c r="S141" s="403"/>
      <c r="T141" s="406"/>
      <c r="U141" s="406"/>
      <c r="V141" s="407"/>
      <c r="W141" s="408"/>
      <c r="X141" s="408"/>
      <c r="Y141" s="409"/>
      <c r="Z141" s="403"/>
    </row>
    <row r="142" spans="1:26" ht="15">
      <c r="A142" s="403"/>
      <c r="B142" s="403"/>
      <c r="C142" s="403"/>
      <c r="D142" s="404"/>
      <c r="E142" s="403"/>
      <c r="F142" s="405"/>
      <c r="G142" s="405"/>
      <c r="H142" s="403"/>
      <c r="I142" s="403"/>
      <c r="J142" s="405"/>
      <c r="K142" s="403"/>
      <c r="L142" s="403"/>
      <c r="M142" s="403"/>
      <c r="N142" s="403"/>
      <c r="O142" s="403"/>
      <c r="P142" s="403"/>
      <c r="Q142" s="403"/>
      <c r="R142" s="403"/>
      <c r="S142" s="403"/>
      <c r="T142" s="406"/>
      <c r="U142" s="406"/>
      <c r="V142" s="407"/>
      <c r="W142" s="408"/>
      <c r="X142" s="408"/>
      <c r="Y142" s="409"/>
      <c r="Z142" s="403"/>
    </row>
    <row r="143" spans="1:26" ht="15">
      <c r="A143" s="403"/>
      <c r="B143" s="403"/>
      <c r="C143" s="403"/>
      <c r="D143" s="404"/>
      <c r="E143" s="403"/>
      <c r="F143" s="405"/>
      <c r="G143" s="405"/>
      <c r="H143" s="403"/>
      <c r="I143" s="403"/>
      <c r="J143" s="405"/>
      <c r="K143" s="403"/>
      <c r="L143" s="403"/>
      <c r="M143" s="403"/>
      <c r="N143" s="403"/>
      <c r="O143" s="403"/>
      <c r="P143" s="403"/>
      <c r="Q143" s="403"/>
      <c r="R143" s="403"/>
      <c r="S143" s="403"/>
      <c r="T143" s="406"/>
      <c r="U143" s="406"/>
      <c r="V143" s="407"/>
      <c r="W143" s="408"/>
      <c r="X143" s="408"/>
      <c r="Y143" s="409"/>
      <c r="Z143" s="403"/>
    </row>
    <row r="144" spans="1:26" ht="15">
      <c r="A144" s="403"/>
      <c r="B144" s="403"/>
      <c r="C144" s="403"/>
      <c r="D144" s="404"/>
      <c r="E144" s="403"/>
      <c r="F144" s="405"/>
      <c r="G144" s="405"/>
      <c r="H144" s="403"/>
      <c r="I144" s="403"/>
      <c r="J144" s="405"/>
      <c r="K144" s="403"/>
      <c r="L144" s="403"/>
      <c r="M144" s="403"/>
      <c r="N144" s="403"/>
      <c r="O144" s="403"/>
      <c r="P144" s="403"/>
      <c r="Q144" s="403"/>
      <c r="R144" s="403"/>
      <c r="S144" s="403"/>
      <c r="T144" s="406"/>
      <c r="U144" s="406"/>
      <c r="V144" s="407"/>
      <c r="W144" s="408"/>
      <c r="X144" s="408"/>
      <c r="Y144" s="409"/>
      <c r="Z144" s="403"/>
    </row>
    <row r="145" spans="1:26" ht="15">
      <c r="A145" s="403"/>
      <c r="B145" s="403"/>
      <c r="C145" s="403"/>
      <c r="D145" s="404"/>
      <c r="E145" s="403"/>
      <c r="F145" s="405"/>
      <c r="G145" s="405"/>
      <c r="H145" s="403"/>
      <c r="I145" s="403"/>
      <c r="J145" s="405"/>
      <c r="K145" s="403"/>
      <c r="L145" s="403"/>
      <c r="M145" s="403"/>
      <c r="N145" s="403"/>
      <c r="O145" s="403"/>
      <c r="P145" s="403"/>
      <c r="Q145" s="403"/>
      <c r="R145" s="403"/>
      <c r="S145" s="403"/>
      <c r="T145" s="406"/>
      <c r="U145" s="406"/>
      <c r="V145" s="407"/>
      <c r="W145" s="408"/>
      <c r="X145" s="408"/>
      <c r="Y145" s="409"/>
      <c r="Z145" s="403"/>
    </row>
    <row r="146" spans="1:26" ht="15">
      <c r="A146" s="403"/>
      <c r="B146" s="403"/>
      <c r="C146" s="403"/>
      <c r="D146" s="404"/>
      <c r="E146" s="403"/>
      <c r="F146" s="405"/>
      <c r="G146" s="405"/>
      <c r="H146" s="403"/>
      <c r="I146" s="403"/>
      <c r="J146" s="405"/>
      <c r="K146" s="403"/>
      <c r="L146" s="403"/>
      <c r="M146" s="403"/>
      <c r="N146" s="403"/>
      <c r="O146" s="403"/>
      <c r="P146" s="403"/>
      <c r="Q146" s="403"/>
      <c r="R146" s="403"/>
      <c r="S146" s="403"/>
      <c r="T146" s="406"/>
      <c r="U146" s="406"/>
      <c r="V146" s="407"/>
      <c r="W146" s="408"/>
      <c r="X146" s="408"/>
      <c r="Y146" s="409"/>
      <c r="Z146" s="403"/>
    </row>
    <row r="147" spans="1:26" ht="15">
      <c r="A147" s="403"/>
      <c r="B147" s="403"/>
      <c r="C147" s="403"/>
      <c r="D147" s="404"/>
      <c r="E147" s="403"/>
      <c r="F147" s="405"/>
      <c r="G147" s="405"/>
      <c r="H147" s="403"/>
      <c r="I147" s="403"/>
      <c r="J147" s="405"/>
      <c r="K147" s="403"/>
      <c r="L147" s="403"/>
      <c r="M147" s="403"/>
      <c r="N147" s="403"/>
      <c r="O147" s="403"/>
      <c r="P147" s="403"/>
      <c r="Q147" s="403"/>
      <c r="R147" s="403"/>
      <c r="S147" s="403"/>
      <c r="T147" s="406"/>
      <c r="U147" s="406"/>
      <c r="V147" s="407"/>
      <c r="W147" s="408"/>
      <c r="X147" s="408"/>
      <c r="Y147" s="409"/>
      <c r="Z147" s="403"/>
    </row>
    <row r="148" spans="1:26" ht="15">
      <c r="A148" s="403"/>
      <c r="B148" s="403"/>
      <c r="C148" s="403"/>
      <c r="D148" s="404"/>
      <c r="E148" s="403"/>
      <c r="F148" s="405"/>
      <c r="G148" s="405"/>
      <c r="H148" s="403"/>
      <c r="I148" s="403"/>
      <c r="J148" s="405"/>
      <c r="K148" s="403"/>
      <c r="L148" s="403"/>
      <c r="M148" s="403"/>
      <c r="N148" s="403"/>
      <c r="O148" s="403"/>
      <c r="P148" s="403"/>
      <c r="Q148" s="403"/>
      <c r="R148" s="403"/>
      <c r="S148" s="403"/>
      <c r="T148" s="406"/>
      <c r="U148" s="406"/>
      <c r="V148" s="407"/>
      <c r="W148" s="408"/>
      <c r="X148" s="408"/>
      <c r="Y148" s="409"/>
      <c r="Z148" s="403"/>
    </row>
    <row r="149" spans="1:26" ht="15">
      <c r="A149" s="403"/>
      <c r="B149" s="403"/>
      <c r="C149" s="403"/>
      <c r="D149" s="404"/>
      <c r="E149" s="403"/>
      <c r="F149" s="405"/>
      <c r="G149" s="405"/>
      <c r="H149" s="403"/>
      <c r="I149" s="403"/>
      <c r="J149" s="405"/>
      <c r="K149" s="403"/>
      <c r="L149" s="403"/>
      <c r="M149" s="403"/>
      <c r="N149" s="403"/>
      <c r="O149" s="403"/>
      <c r="P149" s="403"/>
      <c r="Q149" s="403"/>
      <c r="R149" s="403"/>
      <c r="S149" s="403"/>
      <c r="T149" s="406"/>
      <c r="U149" s="406"/>
      <c r="V149" s="407"/>
      <c r="W149" s="408"/>
      <c r="X149" s="408"/>
      <c r="Y149" s="409"/>
      <c r="Z149" s="403"/>
    </row>
    <row r="150" spans="1:26" ht="15">
      <c r="A150" s="403"/>
      <c r="B150" s="403"/>
      <c r="C150" s="403"/>
      <c r="D150" s="404"/>
      <c r="E150" s="403"/>
      <c r="F150" s="405"/>
      <c r="G150" s="405"/>
      <c r="H150" s="403"/>
      <c r="I150" s="403"/>
      <c r="J150" s="405"/>
      <c r="K150" s="403"/>
      <c r="L150" s="403"/>
      <c r="M150" s="403"/>
      <c r="N150" s="403"/>
      <c r="O150" s="403"/>
      <c r="P150" s="403"/>
      <c r="Q150" s="403"/>
      <c r="R150" s="403"/>
      <c r="S150" s="403"/>
      <c r="T150" s="406"/>
      <c r="U150" s="406"/>
      <c r="V150" s="407"/>
      <c r="W150" s="408"/>
      <c r="X150" s="408"/>
      <c r="Y150" s="409"/>
      <c r="Z150" s="403"/>
    </row>
    <row r="151" spans="1:26" ht="15">
      <c r="A151" s="403"/>
      <c r="B151" s="403"/>
      <c r="C151" s="403"/>
      <c r="D151" s="404"/>
      <c r="E151" s="403"/>
      <c r="F151" s="405"/>
      <c r="G151" s="405"/>
      <c r="H151" s="403"/>
      <c r="I151" s="403"/>
      <c r="J151" s="405"/>
      <c r="K151" s="403"/>
      <c r="L151" s="403"/>
      <c r="M151" s="403"/>
      <c r="N151" s="403"/>
      <c r="O151" s="403"/>
      <c r="P151" s="403"/>
      <c r="Q151" s="403"/>
      <c r="R151" s="403"/>
      <c r="S151" s="403"/>
      <c r="T151" s="406"/>
      <c r="U151" s="406"/>
      <c r="V151" s="407"/>
      <c r="W151" s="408"/>
      <c r="X151" s="408"/>
      <c r="Y151" s="409"/>
      <c r="Z151" s="403"/>
    </row>
    <row r="152" spans="1:26" ht="15">
      <c r="A152" s="403"/>
      <c r="B152" s="403"/>
      <c r="C152" s="403"/>
      <c r="D152" s="404"/>
      <c r="E152" s="403"/>
      <c r="F152" s="405"/>
      <c r="G152" s="405"/>
      <c r="H152" s="403"/>
      <c r="I152" s="403"/>
      <c r="J152" s="405"/>
      <c r="K152" s="403"/>
      <c r="L152" s="403"/>
      <c r="M152" s="403"/>
      <c r="N152" s="403"/>
      <c r="O152" s="403"/>
      <c r="P152" s="403"/>
      <c r="Q152" s="403"/>
      <c r="R152" s="403"/>
      <c r="S152" s="403"/>
      <c r="T152" s="406"/>
      <c r="U152" s="406"/>
      <c r="V152" s="407"/>
      <c r="W152" s="408"/>
      <c r="X152" s="408"/>
      <c r="Y152" s="409"/>
      <c r="Z152" s="403"/>
    </row>
    <row r="153" spans="1:26" ht="15">
      <c r="A153" s="403"/>
      <c r="B153" s="403"/>
      <c r="C153" s="403"/>
      <c r="D153" s="404"/>
      <c r="E153" s="403"/>
      <c r="F153" s="405"/>
      <c r="G153" s="405"/>
      <c r="H153" s="403"/>
      <c r="I153" s="403"/>
      <c r="J153" s="405"/>
      <c r="K153" s="403"/>
      <c r="L153" s="403"/>
      <c r="M153" s="403"/>
      <c r="N153" s="403"/>
      <c r="O153" s="403"/>
      <c r="P153" s="403"/>
      <c r="Q153" s="403"/>
      <c r="R153" s="403"/>
      <c r="S153" s="403"/>
      <c r="T153" s="406"/>
      <c r="U153" s="406"/>
      <c r="V153" s="407"/>
      <c r="W153" s="408"/>
      <c r="X153" s="408"/>
      <c r="Y153" s="409"/>
      <c r="Z153" s="403"/>
    </row>
    <row r="154" spans="1:26" ht="15">
      <c r="A154" s="403"/>
      <c r="B154" s="403"/>
      <c r="C154" s="403"/>
      <c r="D154" s="404"/>
      <c r="E154" s="403"/>
      <c r="F154" s="405"/>
      <c r="G154" s="405"/>
      <c r="H154" s="403"/>
      <c r="I154" s="403"/>
      <c r="J154" s="405"/>
      <c r="K154" s="403"/>
      <c r="L154" s="403"/>
      <c r="M154" s="403"/>
      <c r="N154" s="403"/>
      <c r="O154" s="403"/>
      <c r="P154" s="403"/>
      <c r="Q154" s="403"/>
      <c r="R154" s="403"/>
      <c r="S154" s="403"/>
      <c r="T154" s="406"/>
      <c r="U154" s="406"/>
      <c r="V154" s="407"/>
      <c r="W154" s="408"/>
      <c r="X154" s="408"/>
      <c r="Y154" s="409"/>
      <c r="Z154" s="403"/>
    </row>
    <row r="155" spans="1:26" ht="15">
      <c r="A155" s="403"/>
      <c r="B155" s="403"/>
      <c r="C155" s="403"/>
      <c r="D155" s="404"/>
      <c r="E155" s="403"/>
      <c r="F155" s="405"/>
      <c r="G155" s="405"/>
      <c r="H155" s="403"/>
      <c r="I155" s="403"/>
      <c r="J155" s="405"/>
      <c r="K155" s="403"/>
      <c r="L155" s="403"/>
      <c r="M155" s="403"/>
      <c r="N155" s="403"/>
      <c r="O155" s="403"/>
      <c r="P155" s="403"/>
      <c r="Q155" s="403"/>
      <c r="R155" s="403"/>
      <c r="S155" s="403"/>
      <c r="T155" s="406"/>
      <c r="U155" s="406"/>
      <c r="V155" s="407"/>
      <c r="W155" s="408"/>
      <c r="X155" s="408"/>
      <c r="Y155" s="409"/>
      <c r="Z155" s="403"/>
    </row>
  </sheetData>
  <mergeCells count="165">
    <mergeCell ref="C108:D108"/>
    <mergeCell ref="F108:G108"/>
    <mergeCell ref="H108:X108"/>
    <mergeCell ref="C109:D109"/>
    <mergeCell ref="F109:G109"/>
    <mergeCell ref="H109:X109"/>
    <mergeCell ref="F110:X110"/>
    <mergeCell ref="B10:B11"/>
    <mergeCell ref="B16:B18"/>
    <mergeCell ref="B19:B21"/>
    <mergeCell ref="B29:B30"/>
    <mergeCell ref="B35:B40"/>
    <mergeCell ref="B46:B50"/>
    <mergeCell ref="B51:B53"/>
    <mergeCell ref="B57:B60"/>
    <mergeCell ref="B61:B67"/>
    <mergeCell ref="B68:B72"/>
    <mergeCell ref="B73:B79"/>
    <mergeCell ref="B82:B87"/>
    <mergeCell ref="B88:B92"/>
    <mergeCell ref="V10:X11"/>
    <mergeCell ref="C16:G18"/>
    <mergeCell ref="V16:X18"/>
    <mergeCell ref="C19:G21"/>
    <mergeCell ref="C101:U101"/>
    <mergeCell ref="V101:X101"/>
    <mergeCell ref="C102:U102"/>
    <mergeCell ref="V102:X102"/>
    <mergeCell ref="C103:U103"/>
    <mergeCell ref="V103:X103"/>
    <mergeCell ref="C104:U104"/>
    <mergeCell ref="V104:X104"/>
    <mergeCell ref="C105:U105"/>
    <mergeCell ref="V105:X105"/>
    <mergeCell ref="C93:X93"/>
    <mergeCell ref="V94:X94"/>
    <mergeCell ref="Q96:R96"/>
    <mergeCell ref="V96:X96"/>
    <mergeCell ref="C97:U97"/>
    <mergeCell ref="V97:X97"/>
    <mergeCell ref="C99:X99"/>
    <mergeCell ref="C100:U100"/>
    <mergeCell ref="V100:X100"/>
    <mergeCell ref="Q67:R67"/>
    <mergeCell ref="Q79:R79"/>
    <mergeCell ref="C80:U80"/>
    <mergeCell ref="V80:X80"/>
    <mergeCell ref="C81:P81"/>
    <mergeCell ref="Q81:R81"/>
    <mergeCell ref="T81:U81"/>
    <mergeCell ref="V81:X81"/>
    <mergeCell ref="Q92:R92"/>
    <mergeCell ref="C88:G92"/>
    <mergeCell ref="H88:U91"/>
    <mergeCell ref="V88:X92"/>
    <mergeCell ref="C61:G67"/>
    <mergeCell ref="H61:U66"/>
    <mergeCell ref="V61:X67"/>
    <mergeCell ref="C68:G72"/>
    <mergeCell ref="H68:U71"/>
    <mergeCell ref="V68:X72"/>
    <mergeCell ref="C73:G79"/>
    <mergeCell ref="H73:U78"/>
    <mergeCell ref="V73:X79"/>
    <mergeCell ref="C82:G87"/>
    <mergeCell ref="H82:U86"/>
    <mergeCell ref="V82:X87"/>
    <mergeCell ref="H50:I50"/>
    <mergeCell ref="K50:L50"/>
    <mergeCell ref="H53:I53"/>
    <mergeCell ref="K53:L53"/>
    <mergeCell ref="N53:O53"/>
    <mergeCell ref="C54:U54"/>
    <mergeCell ref="V54:X54"/>
    <mergeCell ref="C56:X56"/>
    <mergeCell ref="H60:I60"/>
    <mergeCell ref="K60:L60"/>
    <mergeCell ref="M60:N60"/>
    <mergeCell ref="Q60:R60"/>
    <mergeCell ref="C51:G53"/>
    <mergeCell ref="H51:U52"/>
    <mergeCell ref="V51:X53"/>
    <mergeCell ref="C46:G50"/>
    <mergeCell ref="H46:U49"/>
    <mergeCell ref="V46:X50"/>
    <mergeCell ref="C57:G60"/>
    <mergeCell ref="H57:U59"/>
    <mergeCell ref="V57:X60"/>
    <mergeCell ref="C42:U42"/>
    <mergeCell ref="V42:X42"/>
    <mergeCell ref="C43:X43"/>
    <mergeCell ref="Q44:R44"/>
    <mergeCell ref="T44:U44"/>
    <mergeCell ref="V44:X44"/>
    <mergeCell ref="C45:G45"/>
    <mergeCell ref="K45:L45"/>
    <mergeCell ref="N45:O45"/>
    <mergeCell ref="V45:X45"/>
    <mergeCell ref="C31:P31"/>
    <mergeCell ref="V31:X31"/>
    <mergeCell ref="C32:U32"/>
    <mergeCell ref="V32:X32"/>
    <mergeCell ref="C34:X34"/>
    <mergeCell ref="M40:N40"/>
    <mergeCell ref="C41:G41"/>
    <mergeCell ref="H41:I41"/>
    <mergeCell ref="K41:L41"/>
    <mergeCell ref="M41:N41"/>
    <mergeCell ref="O41:P41"/>
    <mergeCell ref="V41:X41"/>
    <mergeCell ref="V35:X40"/>
    <mergeCell ref="C35:G40"/>
    <mergeCell ref="H35:U39"/>
    <mergeCell ref="V24:X24"/>
    <mergeCell ref="C25:U25"/>
    <mergeCell ref="V25:X25"/>
    <mergeCell ref="C27:X27"/>
    <mergeCell ref="C28:X28"/>
    <mergeCell ref="H29:U29"/>
    <mergeCell ref="H30:I30"/>
    <mergeCell ref="K30:L30"/>
    <mergeCell ref="N30:O30"/>
    <mergeCell ref="Q30:R30"/>
    <mergeCell ref="C29:G30"/>
    <mergeCell ref="V29:X30"/>
    <mergeCell ref="H19:U19"/>
    <mergeCell ref="H21:I21"/>
    <mergeCell ref="K21:L21"/>
    <mergeCell ref="N21:O21"/>
    <mergeCell ref="C22:U22"/>
    <mergeCell ref="V22:X22"/>
    <mergeCell ref="C23:P23"/>
    <mergeCell ref="Q23:R23"/>
    <mergeCell ref="T23:U23"/>
    <mergeCell ref="V23:X23"/>
    <mergeCell ref="V19:X21"/>
    <mergeCell ref="C12:U12"/>
    <mergeCell ref="V12:X12"/>
    <mergeCell ref="C13:U13"/>
    <mergeCell ref="V13:X13"/>
    <mergeCell ref="C14:X14"/>
    <mergeCell ref="C15:X15"/>
    <mergeCell ref="H16:U16"/>
    <mergeCell ref="H18:N18"/>
    <mergeCell ref="P18:U18"/>
    <mergeCell ref="C7:U7"/>
    <mergeCell ref="V7:X7"/>
    <mergeCell ref="C8:U8"/>
    <mergeCell ref="V8:X8"/>
    <mergeCell ref="C9:U9"/>
    <mergeCell ref="V9:X9"/>
    <mergeCell ref="C10:U10"/>
    <mergeCell ref="D11:E11"/>
    <mergeCell ref="F11:H11"/>
    <mergeCell ref="K11:M11"/>
    <mergeCell ref="N11:P11"/>
    <mergeCell ref="C2:X2"/>
    <mergeCell ref="C3:U3"/>
    <mergeCell ref="V3:X3"/>
    <mergeCell ref="C4:U4"/>
    <mergeCell ref="V4:X4"/>
    <mergeCell ref="C5:U5"/>
    <mergeCell ref="V5:X5"/>
    <mergeCell ref="C6:U6"/>
    <mergeCell ref="V6:X6"/>
  </mergeCells>
  <printOptions horizontalCentered="1" verticalCentered="1"/>
  <pageMargins left="0.78740157480314998" right="0.78740157480314998" top="0.98425196850393704" bottom="0.98425196850393704" header="0.511811023622047" footer="0.511811023622047"/>
  <pageSetup paperSize="9" scale="65" orientation="portrait" horizontalDpi="300" verticalDpi="300"/>
  <headerFooter alignWithMargins="0"/>
  <rowBreaks count="1" manualBreakCount="1">
    <brk id="55" max="22" man="1"/>
  </rowBreaks>
  <colBreaks count="1" manualBreakCount="1">
    <brk id="23" max="10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1:K87"/>
  <sheetViews>
    <sheetView showGridLines="0" topLeftCell="A54" zoomScale="60" zoomScaleNormal="60" workbookViewId="0">
      <selection activeCell="H6" sqref="H6"/>
    </sheetView>
  </sheetViews>
  <sheetFormatPr defaultColWidth="9.140625" defaultRowHeight="25.5" customHeight="1"/>
  <cols>
    <col min="1" max="1" width="4.85546875" style="246" customWidth="1"/>
    <col min="2" max="2" width="11" style="254" customWidth="1"/>
    <col min="3" max="3" width="131.7109375" style="255" customWidth="1"/>
    <col min="4" max="4" width="28" style="256" customWidth="1"/>
    <col min="5" max="5" width="24.5703125" style="257" customWidth="1"/>
    <col min="6" max="6" width="6.140625" style="245" customWidth="1"/>
    <col min="7" max="7" width="9.140625" style="246"/>
    <col min="8" max="8" width="21.28515625" style="246" customWidth="1"/>
    <col min="9" max="10" width="9.140625" style="246"/>
    <col min="11" max="11" width="14.7109375" style="249" bestFit="1" customWidth="1"/>
    <col min="12" max="16384" width="9.140625" style="246"/>
  </cols>
  <sheetData>
    <row r="1" spans="2:7" ht="25.5" customHeight="1">
      <c r="B1" s="469"/>
      <c r="C1" s="470"/>
      <c r="D1" s="471"/>
      <c r="E1" s="472"/>
      <c r="F1" s="473"/>
      <c r="G1" s="474"/>
    </row>
    <row r="2" spans="2:7" ht="33.75" customHeight="1">
      <c r="B2" s="951" t="str">
        <f>CONCATENATE("Planilha do Custo Direto da Mão de Obra - ", 'Descrição postos'!C7)</f>
        <v>Planilha do Custo Direto da Mão de Obra - Garçom</v>
      </c>
      <c r="C2" s="952"/>
      <c r="D2" s="952"/>
      <c r="E2" s="953"/>
      <c r="F2" s="473"/>
      <c r="G2" s="474"/>
    </row>
    <row r="3" spans="2:7" ht="33.75" customHeight="1">
      <c r="B3" s="954" t="s">
        <v>266</v>
      </c>
      <c r="C3" s="954"/>
      <c r="D3" s="954"/>
      <c r="E3" s="954"/>
      <c r="F3" s="475"/>
      <c r="G3" s="474"/>
    </row>
    <row r="4" spans="2:7" ht="35.25" customHeight="1">
      <c r="B4" s="476" t="s">
        <v>127</v>
      </c>
      <c r="C4" s="476" t="s">
        <v>267</v>
      </c>
      <c r="D4" s="477" t="s">
        <v>268</v>
      </c>
      <c r="E4" s="478" t="s">
        <v>269</v>
      </c>
      <c r="F4" s="475"/>
      <c r="G4" s="474"/>
    </row>
    <row r="5" spans="2:7" ht="31.5" customHeight="1">
      <c r="B5" s="479">
        <v>1</v>
      </c>
      <c r="C5" s="480" t="s">
        <v>270</v>
      </c>
      <c r="D5" s="481"/>
      <c r="E5" s="482"/>
      <c r="F5" s="475"/>
      <c r="G5" s="474"/>
    </row>
    <row r="6" spans="2:7" ht="30.75" customHeight="1">
      <c r="B6" s="483" t="s">
        <v>195</v>
      </c>
      <c r="C6" s="484" t="s">
        <v>271</v>
      </c>
      <c r="D6" s="485"/>
      <c r="E6" s="486">
        <f>'Descrição postos'!F7</f>
        <v>2574.37</v>
      </c>
      <c r="F6" s="475"/>
      <c r="G6" s="474"/>
    </row>
    <row r="7" spans="2:7" ht="27" customHeight="1">
      <c r="B7" s="487" t="s">
        <v>197</v>
      </c>
      <c r="C7" s="488" t="s">
        <v>272</v>
      </c>
      <c r="D7" s="489"/>
      <c r="E7" s="490"/>
      <c r="F7" s="475"/>
      <c r="G7" s="474"/>
    </row>
    <row r="8" spans="2:7" ht="27" customHeight="1">
      <c r="B8" s="487"/>
      <c r="C8" s="491" t="s">
        <v>273</v>
      </c>
      <c r="D8" s="492"/>
      <c r="E8" s="490"/>
      <c r="F8" s="475"/>
      <c r="G8" s="474"/>
    </row>
    <row r="9" spans="2:7" ht="27.75" customHeight="1">
      <c r="B9" s="487" t="s">
        <v>199</v>
      </c>
      <c r="C9" s="488" t="s">
        <v>274</v>
      </c>
      <c r="D9" s="493"/>
      <c r="E9" s="494"/>
      <c r="F9" s="475"/>
      <c r="G9" s="474"/>
    </row>
    <row r="10" spans="2:7" ht="29.25" customHeight="1">
      <c r="B10" s="487" t="s">
        <v>201</v>
      </c>
      <c r="C10" s="488" t="s">
        <v>275</v>
      </c>
      <c r="D10" s="489"/>
      <c r="E10" s="490"/>
      <c r="F10" s="475"/>
      <c r="G10" s="474"/>
    </row>
    <row r="11" spans="2:7" ht="29.25" customHeight="1">
      <c r="B11" s="487" t="s">
        <v>203</v>
      </c>
      <c r="C11" s="488" t="s">
        <v>276</v>
      </c>
      <c r="D11" s="489"/>
      <c r="E11" s="490"/>
      <c r="F11" s="475"/>
      <c r="G11" s="474"/>
    </row>
    <row r="12" spans="2:7" ht="30.75" customHeight="1">
      <c r="B12" s="487" t="s">
        <v>205</v>
      </c>
      <c r="C12" s="488" t="s">
        <v>277</v>
      </c>
      <c r="D12" s="489"/>
      <c r="E12" s="490"/>
      <c r="F12" s="475"/>
      <c r="G12" s="474"/>
    </row>
    <row r="13" spans="2:7" ht="33" customHeight="1">
      <c r="B13" s="955" t="s">
        <v>278</v>
      </c>
      <c r="C13" s="956"/>
      <c r="D13" s="495"/>
      <c r="E13" s="496">
        <f>SUM(E6:E12)</f>
        <v>2574.37</v>
      </c>
      <c r="F13" s="475"/>
      <c r="G13" s="474"/>
    </row>
    <row r="14" spans="2:7" ht="33" customHeight="1">
      <c r="B14" s="497" t="s">
        <v>207</v>
      </c>
      <c r="C14" s="498" t="s">
        <v>279</v>
      </c>
      <c r="D14" s="489"/>
      <c r="E14" s="490"/>
      <c r="F14" s="475"/>
      <c r="G14" s="474"/>
    </row>
    <row r="15" spans="2:7" ht="31.5" customHeight="1">
      <c r="B15" s="497" t="s">
        <v>211</v>
      </c>
      <c r="C15" s="499" t="s">
        <v>280</v>
      </c>
      <c r="D15" s="489"/>
      <c r="E15" s="500"/>
      <c r="F15" s="475"/>
      <c r="G15" s="474"/>
    </row>
    <row r="16" spans="2:7" ht="31.5" customHeight="1">
      <c r="B16" s="497" t="s">
        <v>281</v>
      </c>
      <c r="C16" s="499" t="s">
        <v>282</v>
      </c>
      <c r="D16" s="489"/>
      <c r="E16" s="500"/>
      <c r="F16" s="475"/>
      <c r="G16" s="474"/>
    </row>
    <row r="17" spans="2:8" ht="33.75" customHeight="1">
      <c r="B17" s="479">
        <v>1</v>
      </c>
      <c r="C17" s="501" t="s">
        <v>283</v>
      </c>
      <c r="D17" s="502"/>
      <c r="E17" s="503">
        <f>E13+E15</f>
        <v>2574.37</v>
      </c>
      <c r="F17" s="475"/>
      <c r="G17" s="474"/>
    </row>
    <row r="18" spans="2:8" ht="33.75" customHeight="1">
      <c r="B18" s="479">
        <v>2</v>
      </c>
      <c r="C18" s="480" t="s">
        <v>284</v>
      </c>
      <c r="D18" s="481"/>
      <c r="E18" s="482"/>
      <c r="F18" s="475"/>
      <c r="G18" s="474"/>
    </row>
    <row r="19" spans="2:8" ht="33.75" customHeight="1">
      <c r="B19" s="495"/>
      <c r="C19" s="504" t="s">
        <v>285</v>
      </c>
      <c r="D19" s="505"/>
      <c r="E19" s="506"/>
      <c r="F19" s="475"/>
      <c r="G19" s="474"/>
    </row>
    <row r="20" spans="2:8" ht="33.75" customHeight="1">
      <c r="B20" s="507" t="s">
        <v>195</v>
      </c>
      <c r="C20" s="508" t="s">
        <v>286</v>
      </c>
      <c r="D20" s="509"/>
      <c r="E20" s="510">
        <f>'Escalas, VT e VA'!J19</f>
        <v>697.40000000000009</v>
      </c>
      <c r="F20" s="475"/>
      <c r="G20" s="474"/>
    </row>
    <row r="21" spans="2:8" ht="33.75" customHeight="1">
      <c r="B21" s="507" t="s">
        <v>197</v>
      </c>
      <c r="C21" s="508" t="s">
        <v>287</v>
      </c>
      <c r="D21" s="509"/>
      <c r="E21" s="511">
        <f>ROUND(IF(ABS(-0.06*E6)&gt;E20,-1*E20,-6/100*E6),2)</f>
        <v>-154.46</v>
      </c>
      <c r="F21" s="475"/>
      <c r="G21" s="474"/>
      <c r="H21" s="248"/>
    </row>
    <row r="22" spans="2:8" ht="33.75" customHeight="1">
      <c r="B22" s="507" t="s">
        <v>199</v>
      </c>
      <c r="C22" s="508" t="s">
        <v>117</v>
      </c>
      <c r="D22" s="509"/>
      <c r="E22" s="510">
        <f>'Escalas, VT e VA'!H29</f>
        <v>974.6</v>
      </c>
      <c r="F22" s="475"/>
      <c r="G22" s="474"/>
    </row>
    <row r="23" spans="2:8" ht="33.75" customHeight="1">
      <c r="B23" s="507" t="s">
        <v>201</v>
      </c>
      <c r="C23" s="512" t="s">
        <v>288</v>
      </c>
      <c r="D23" s="509"/>
      <c r="E23" s="510">
        <v>200</v>
      </c>
      <c r="F23" s="475"/>
      <c r="G23" s="474"/>
    </row>
    <row r="24" spans="2:8" ht="33.75" customHeight="1">
      <c r="B24" s="507" t="s">
        <v>203</v>
      </c>
      <c r="C24" s="512" t="s">
        <v>289</v>
      </c>
      <c r="D24" s="509"/>
      <c r="E24" s="510">
        <v>3.61</v>
      </c>
      <c r="F24" s="475"/>
      <c r="G24" s="474"/>
    </row>
    <row r="25" spans="2:8" ht="33.75" customHeight="1">
      <c r="B25" s="507" t="s">
        <v>205</v>
      </c>
      <c r="C25" s="512" t="s">
        <v>290</v>
      </c>
      <c r="D25" s="509"/>
      <c r="E25" s="513">
        <v>13.64</v>
      </c>
      <c r="F25" s="475"/>
      <c r="G25" s="474"/>
    </row>
    <row r="26" spans="2:8" ht="33.75" customHeight="1">
      <c r="B26" s="507" t="s">
        <v>207</v>
      </c>
      <c r="C26" s="512" t="s">
        <v>291</v>
      </c>
      <c r="D26" s="509"/>
      <c r="E26" s="513">
        <f>14/12*0.5</f>
        <v>0.58333333333333337</v>
      </c>
      <c r="F26" s="475"/>
      <c r="G26" s="474"/>
    </row>
    <row r="27" spans="2:8" ht="33.75" customHeight="1">
      <c r="B27" s="514"/>
      <c r="C27" s="515" t="s">
        <v>292</v>
      </c>
      <c r="D27" s="516"/>
      <c r="E27" s="517">
        <f>SUM(E20:E26)</f>
        <v>1735.3733333333332</v>
      </c>
      <c r="F27" s="475"/>
      <c r="G27" s="474"/>
    </row>
    <row r="28" spans="2:8" ht="33.75" customHeight="1">
      <c r="B28" s="518"/>
      <c r="C28" s="504" t="s">
        <v>293</v>
      </c>
      <c r="D28" s="505"/>
      <c r="E28" s="506"/>
      <c r="F28" s="475"/>
      <c r="G28" s="474"/>
    </row>
    <row r="29" spans="2:8" ht="33.75" customHeight="1">
      <c r="B29" s="519" t="s">
        <v>195</v>
      </c>
      <c r="C29" s="520" t="s">
        <v>294</v>
      </c>
      <c r="D29" s="509">
        <v>0.2</v>
      </c>
      <c r="E29" s="510">
        <f>D29*$E$13</f>
        <v>514.87400000000002</v>
      </c>
      <c r="F29" s="475"/>
      <c r="G29" s="474"/>
    </row>
    <row r="30" spans="2:8" ht="51.75" customHeight="1">
      <c r="B30" s="519" t="s">
        <v>197</v>
      </c>
      <c r="C30" s="520" t="s">
        <v>295</v>
      </c>
      <c r="D30" s="521">
        <v>1.4999999999999999E-2</v>
      </c>
      <c r="E30" s="510">
        <f>D30*$E$13</f>
        <v>38.615549999999999</v>
      </c>
      <c r="F30" s="475"/>
      <c r="G30" s="474"/>
    </row>
    <row r="31" spans="2:8" ht="51" customHeight="1">
      <c r="B31" s="519" t="s">
        <v>199</v>
      </c>
      <c r="C31" s="522" t="s">
        <v>296</v>
      </c>
      <c r="D31" s="521">
        <v>0.01</v>
      </c>
      <c r="E31" s="510">
        <f>D31*$E$13</f>
        <v>25.7437</v>
      </c>
      <c r="F31" s="475"/>
      <c r="G31" s="474"/>
    </row>
    <row r="32" spans="2:8" ht="33.75" customHeight="1">
      <c r="B32" s="519" t="s">
        <v>201</v>
      </c>
      <c r="C32" s="520" t="s">
        <v>297</v>
      </c>
      <c r="D32" s="521">
        <v>2E-3</v>
      </c>
      <c r="E32" s="510">
        <f t="shared" ref="E32:E36" si="0">D32*$E$13</f>
        <v>5.1487400000000001</v>
      </c>
      <c r="F32" s="475"/>
      <c r="G32" s="474"/>
    </row>
    <row r="33" spans="2:7" ht="33.75" customHeight="1">
      <c r="B33" s="519" t="s">
        <v>203</v>
      </c>
      <c r="C33" s="520" t="s">
        <v>298</v>
      </c>
      <c r="D33" s="521">
        <v>2.5000000000000001E-2</v>
      </c>
      <c r="E33" s="510">
        <f t="shared" si="0"/>
        <v>64.359250000000003</v>
      </c>
      <c r="F33" s="475"/>
      <c r="G33" s="474"/>
    </row>
    <row r="34" spans="2:7" ht="33.75" customHeight="1">
      <c r="B34" s="523" t="s">
        <v>205</v>
      </c>
      <c r="C34" s="524" t="s">
        <v>299</v>
      </c>
      <c r="D34" s="525">
        <v>0.08</v>
      </c>
      <c r="E34" s="510">
        <f t="shared" si="0"/>
        <v>205.9496</v>
      </c>
      <c r="F34" s="475"/>
      <c r="G34" s="474"/>
    </row>
    <row r="35" spans="2:7" ht="33.75" customHeight="1">
      <c r="B35" s="519" t="s">
        <v>207</v>
      </c>
      <c r="C35" s="520" t="s">
        <v>300</v>
      </c>
      <c r="D35" s="521">
        <f>3%*1</f>
        <v>0.03</v>
      </c>
      <c r="E35" s="510">
        <f t="shared" si="0"/>
        <v>77.231099999999998</v>
      </c>
      <c r="F35" s="475"/>
      <c r="G35" s="474"/>
    </row>
    <row r="36" spans="2:7" ht="33.75" customHeight="1">
      <c r="B36" s="519" t="s">
        <v>211</v>
      </c>
      <c r="C36" s="520" t="s">
        <v>301</v>
      </c>
      <c r="D36" s="525">
        <v>6.0000000000000001E-3</v>
      </c>
      <c r="E36" s="510">
        <f t="shared" si="0"/>
        <v>15.44622</v>
      </c>
      <c r="F36" s="475"/>
      <c r="G36" s="474"/>
    </row>
    <row r="37" spans="2:7" ht="33.75" customHeight="1">
      <c r="B37" s="505"/>
      <c r="C37" s="515" t="s">
        <v>302</v>
      </c>
      <c r="D37" s="516">
        <f>SUM(D29:D36)</f>
        <v>0.3680000000000001</v>
      </c>
      <c r="E37" s="517">
        <f>SUM(E29:E36)</f>
        <v>947.36815999999999</v>
      </c>
      <c r="F37" s="475"/>
      <c r="G37" s="474"/>
    </row>
    <row r="38" spans="2:7" ht="33.75" customHeight="1">
      <c r="B38" s="518"/>
      <c r="C38" s="504" t="s">
        <v>303</v>
      </c>
      <c r="D38" s="505"/>
      <c r="E38" s="496"/>
      <c r="F38" s="475"/>
      <c r="G38" s="474"/>
    </row>
    <row r="39" spans="2:7" ht="33.75" customHeight="1">
      <c r="B39" s="487" t="s">
        <v>195</v>
      </c>
      <c r="C39" s="526" t="s">
        <v>215</v>
      </c>
      <c r="D39" s="489">
        <f>1/12</f>
        <v>8.3333333333333329E-2</v>
      </c>
      <c r="E39" s="490">
        <f>D39*$E$13</f>
        <v>214.53083333333331</v>
      </c>
      <c r="F39" s="475"/>
      <c r="G39" s="474"/>
    </row>
    <row r="40" spans="2:7" ht="33.75" customHeight="1">
      <c r="B40" s="527" t="s">
        <v>197</v>
      </c>
      <c r="C40" s="528" t="s">
        <v>218</v>
      </c>
      <c r="D40" s="529">
        <f>1/3*1/12</f>
        <v>2.7777777777777776E-2</v>
      </c>
      <c r="E40" s="490">
        <f>D40*$E$13</f>
        <v>71.510277777777773</v>
      </c>
      <c r="F40" s="475"/>
      <c r="G40" s="474"/>
    </row>
    <row r="41" spans="2:7" ht="33.75" customHeight="1">
      <c r="B41" s="530" t="s">
        <v>199</v>
      </c>
      <c r="C41" s="531" t="s">
        <v>304</v>
      </c>
      <c r="D41" s="532">
        <f>D37*(D39+D40)</f>
        <v>4.0888888888888898E-2</v>
      </c>
      <c r="E41" s="533">
        <f>D41*E13</f>
        <v>105.26312888888891</v>
      </c>
      <c r="F41" s="475"/>
      <c r="G41" s="474"/>
    </row>
    <row r="42" spans="2:7" ht="33.75" customHeight="1">
      <c r="B42" s="534" t="s">
        <v>201</v>
      </c>
      <c r="C42" s="535" t="s">
        <v>224</v>
      </c>
      <c r="D42" s="536">
        <f>8/100*40/100*(D39+D40)</f>
        <v>3.5555555555555553E-3</v>
      </c>
      <c r="E42" s="537">
        <f>D42*E13</f>
        <v>9.1533155555555545</v>
      </c>
      <c r="F42" s="475"/>
      <c r="G42" s="474"/>
    </row>
    <row r="43" spans="2:7" ht="31.5" customHeight="1">
      <c r="B43" s="505"/>
      <c r="C43" s="515" t="s">
        <v>305</v>
      </c>
      <c r="D43" s="516">
        <f>SUM(D39:D42)</f>
        <v>0.15555555555555556</v>
      </c>
      <c r="E43" s="517">
        <f>SUM(E39:E42)</f>
        <v>400.45755555555553</v>
      </c>
      <c r="F43" s="475"/>
      <c r="G43" s="474"/>
    </row>
    <row r="44" spans="2:7" ht="33.75" customHeight="1">
      <c r="B44" s="505"/>
      <c r="C44" s="514" t="s">
        <v>306</v>
      </c>
      <c r="D44" s="505"/>
      <c r="E44" s="506"/>
      <c r="F44" s="475"/>
      <c r="G44" s="474"/>
    </row>
    <row r="45" spans="2:7" ht="33.75" customHeight="1">
      <c r="B45" s="538" t="s">
        <v>195</v>
      </c>
      <c r="C45" s="539" t="s">
        <v>307</v>
      </c>
      <c r="D45" s="540">
        <f>(1+1/3)/12*2/100*4/12</f>
        <v>7.407407407407407E-4</v>
      </c>
      <c r="E45" s="541">
        <f>D45*E13</f>
        <v>1.9069407407407406</v>
      </c>
      <c r="F45" s="475"/>
      <c r="G45" s="474"/>
    </row>
    <row r="46" spans="2:7" ht="33" customHeight="1">
      <c r="B46" s="542" t="s">
        <v>197</v>
      </c>
      <c r="C46" s="543" t="s">
        <v>308</v>
      </c>
      <c r="D46" s="544">
        <f>D37*D45</f>
        <v>2.7259259259259267E-4</v>
      </c>
      <c r="E46" s="545">
        <f>D46*E13</f>
        <v>0.70175419259259275</v>
      </c>
      <c r="F46" s="475"/>
      <c r="G46" s="474"/>
    </row>
    <row r="47" spans="2:7" ht="34.5" customHeight="1">
      <c r="B47" s="546"/>
      <c r="C47" s="547" t="s">
        <v>309</v>
      </c>
      <c r="D47" s="548">
        <f>SUM(D45:D46)</f>
        <v>1.0133333333333333E-3</v>
      </c>
      <c r="E47" s="549">
        <f>E45+E46</f>
        <v>2.6086949333333331</v>
      </c>
      <c r="F47" s="475"/>
      <c r="G47" s="474"/>
    </row>
    <row r="48" spans="2:7" ht="39.75" customHeight="1">
      <c r="B48" s="479">
        <v>2</v>
      </c>
      <c r="C48" s="501" t="s">
        <v>310</v>
      </c>
      <c r="D48" s="502"/>
      <c r="E48" s="503">
        <f>E27+E37+E43+E47</f>
        <v>3085.8077438222222</v>
      </c>
      <c r="F48" s="475"/>
      <c r="G48" s="474"/>
    </row>
    <row r="49" spans="2:7" ht="33" customHeight="1">
      <c r="B49" s="479">
        <v>3</v>
      </c>
      <c r="C49" s="480" t="s">
        <v>311</v>
      </c>
      <c r="D49" s="481"/>
      <c r="E49" s="482"/>
      <c r="F49" s="475"/>
      <c r="G49" s="474"/>
    </row>
    <row r="50" spans="2:7" ht="39" customHeight="1">
      <c r="B50" s="487" t="s">
        <v>195</v>
      </c>
      <c r="C50" s="526" t="s">
        <v>233</v>
      </c>
      <c r="D50" s="489">
        <f>1/12*3.5/100</f>
        <v>2.9166666666666664E-3</v>
      </c>
      <c r="E50" s="490">
        <f>D50*E13</f>
        <v>7.5085791666666655</v>
      </c>
      <c r="F50" s="475"/>
      <c r="G50" s="474"/>
    </row>
    <row r="51" spans="2:7" ht="39" customHeight="1">
      <c r="B51" s="550" t="s">
        <v>197</v>
      </c>
      <c r="C51" s="551" t="s">
        <v>236</v>
      </c>
      <c r="D51" s="552">
        <f>3.5/100*1/12*(1/12+(1+1/3)/12)</f>
        <v>5.6712962962962956E-4</v>
      </c>
      <c r="E51" s="490">
        <f>D51*E13</f>
        <v>1.4600015046296293</v>
      </c>
      <c r="F51" s="475"/>
      <c r="G51" s="474"/>
    </row>
    <row r="52" spans="2:7" ht="35.25" customHeight="1">
      <c r="B52" s="530" t="s">
        <v>199</v>
      </c>
      <c r="C52" s="553" t="s">
        <v>312</v>
      </c>
      <c r="D52" s="554">
        <f>(D37-D34)*1/12*D50</f>
        <v>7.0000000000000021E-5</v>
      </c>
      <c r="E52" s="533">
        <f>D52*E13</f>
        <v>0.18020590000000006</v>
      </c>
      <c r="F52" s="475"/>
      <c r="G52" s="474"/>
    </row>
    <row r="53" spans="2:7" ht="31.5" customHeight="1">
      <c r="B53" s="555" t="s">
        <v>201</v>
      </c>
      <c r="C53" s="556" t="s">
        <v>313</v>
      </c>
      <c r="D53" s="557">
        <f>8/100*(D50+D51)</f>
        <v>2.787037037037037E-4</v>
      </c>
      <c r="E53" s="537">
        <f>D53*E13</f>
        <v>0.71748645370370367</v>
      </c>
      <c r="F53" s="475"/>
      <c r="G53" s="474"/>
    </row>
    <row r="54" spans="2:7" ht="31.5" customHeight="1">
      <c r="B54" s="487" t="s">
        <v>203</v>
      </c>
      <c r="C54" s="488" t="s">
        <v>314</v>
      </c>
      <c r="D54" s="529">
        <f>8/100*40/100</f>
        <v>3.2000000000000001E-2</v>
      </c>
      <c r="E54" s="490">
        <f>D54*E13</f>
        <v>82.379840000000002</v>
      </c>
      <c r="F54" s="475"/>
      <c r="G54" s="474"/>
    </row>
    <row r="55" spans="2:7" ht="29.25" customHeight="1">
      <c r="B55" s="519" t="s">
        <v>205</v>
      </c>
      <c r="C55" s="520" t="s">
        <v>315</v>
      </c>
      <c r="D55" s="529">
        <f>1/12*1/100</f>
        <v>8.3333333333333328E-4</v>
      </c>
      <c r="E55" s="490">
        <f>D55*E13</f>
        <v>2.1453083333333329</v>
      </c>
      <c r="F55" s="475"/>
      <c r="G55" s="474"/>
    </row>
    <row r="56" spans="2:7" ht="32.25" customHeight="1">
      <c r="B56" s="479">
        <v>3</v>
      </c>
      <c r="C56" s="558" t="s">
        <v>316</v>
      </c>
      <c r="D56" s="559">
        <f>SUM(D50:D55)</f>
        <v>3.6665833333333335E-2</v>
      </c>
      <c r="E56" s="560">
        <f>SUM(E50:E55)</f>
        <v>94.391421358333332</v>
      </c>
      <c r="F56" s="475"/>
      <c r="G56" s="474"/>
    </row>
    <row r="57" spans="2:7" ht="33" customHeight="1">
      <c r="B57" s="479">
        <v>4</v>
      </c>
      <c r="C57" s="480" t="s">
        <v>317</v>
      </c>
      <c r="D57" s="481"/>
      <c r="E57" s="482"/>
      <c r="F57" s="475"/>
      <c r="G57" s="474"/>
    </row>
    <row r="58" spans="2:7" ht="33" customHeight="1">
      <c r="B58" s="519" t="s">
        <v>195</v>
      </c>
      <c r="C58" s="561" t="s">
        <v>245</v>
      </c>
      <c r="D58" s="509">
        <f>1/12</f>
        <v>8.3333333333333329E-2</v>
      </c>
      <c r="E58" s="510">
        <f>D58*$E$13</f>
        <v>214.53083333333331</v>
      </c>
      <c r="F58" s="475"/>
      <c r="G58" s="474"/>
    </row>
    <row r="59" spans="2:7" ht="30.75" customHeight="1">
      <c r="B59" s="519" t="s">
        <v>197</v>
      </c>
      <c r="C59" s="562" t="s">
        <v>318</v>
      </c>
      <c r="D59" s="509">
        <f>5/30*1/12*1.5/100</f>
        <v>2.0833333333333332E-4</v>
      </c>
      <c r="E59" s="510">
        <f t="shared" ref="E59:E61" si="1">D59*$E$13</f>
        <v>0.53632708333333323</v>
      </c>
      <c r="F59" s="475"/>
      <c r="G59" s="474"/>
    </row>
    <row r="60" spans="2:7" ht="35.25" customHeight="1">
      <c r="B60" s="519" t="s">
        <v>199</v>
      </c>
      <c r="C60" s="562" t="s">
        <v>248</v>
      </c>
      <c r="D60" s="509">
        <f>1/30*1/12</f>
        <v>2.7777777777777779E-3</v>
      </c>
      <c r="E60" s="510">
        <f t="shared" si="1"/>
        <v>7.1510277777777773</v>
      </c>
      <c r="F60" s="475"/>
      <c r="G60" s="474"/>
    </row>
    <row r="61" spans="2:7" ht="29.25" customHeight="1">
      <c r="B61" s="538" t="s">
        <v>201</v>
      </c>
      <c r="C61" s="563" t="s">
        <v>249</v>
      </c>
      <c r="D61" s="540">
        <f>7/30*1/12*5/100</f>
        <v>9.7222222222222219E-4</v>
      </c>
      <c r="E61" s="510">
        <f t="shared" si="1"/>
        <v>2.502859722222222</v>
      </c>
      <c r="F61" s="564"/>
      <c r="G61" s="474"/>
    </row>
    <row r="62" spans="2:7" ht="36" customHeight="1">
      <c r="B62" s="542" t="s">
        <v>203</v>
      </c>
      <c r="C62" s="565" t="s">
        <v>251</v>
      </c>
      <c r="D62" s="532">
        <f>D37*SUM(D58:D61)</f>
        <v>3.2123333333333344E-2</v>
      </c>
      <c r="E62" s="545">
        <f>D62*E13</f>
        <v>82.697345633333356</v>
      </c>
      <c r="F62" s="475"/>
      <c r="G62" s="474"/>
    </row>
    <row r="63" spans="2:7" ht="39" customHeight="1">
      <c r="B63" s="566" t="s">
        <v>205</v>
      </c>
      <c r="C63" s="567" t="s">
        <v>319</v>
      </c>
      <c r="D63" s="568">
        <f>4.14/30*1/12</f>
        <v>1.1499999999999998E-2</v>
      </c>
      <c r="E63" s="569">
        <f>D63*E13</f>
        <v>29.605254999999993</v>
      </c>
      <c r="F63" s="475"/>
      <c r="G63" s="474"/>
    </row>
    <row r="64" spans="2:7" ht="38.25" customHeight="1">
      <c r="B64" s="538" t="s">
        <v>207</v>
      </c>
      <c r="C64" s="570" t="s">
        <v>253</v>
      </c>
      <c r="D64" s="540">
        <f>15/30*1/12*8/100</f>
        <v>3.3333333333333331E-3</v>
      </c>
      <c r="E64" s="541">
        <f>D64*E13</f>
        <v>8.5812333333333317</v>
      </c>
      <c r="F64" s="475"/>
      <c r="G64" s="474"/>
    </row>
    <row r="65" spans="2:8" ht="37.5" customHeight="1">
      <c r="B65" s="542" t="s">
        <v>211</v>
      </c>
      <c r="C65" s="565" t="s">
        <v>320</v>
      </c>
      <c r="D65" s="544">
        <f>(D43+D47+D56)*(D58+D59+D60+D61+D63+D64)</f>
        <v>1.9734096006944445E-2</v>
      </c>
      <c r="E65" s="545">
        <f>D65*E13</f>
        <v>50.80286473739757</v>
      </c>
      <c r="F65" s="475"/>
      <c r="G65" s="474"/>
    </row>
    <row r="66" spans="2:8" ht="36" customHeight="1">
      <c r="B66" s="571">
        <v>4</v>
      </c>
      <c r="C66" s="572" t="s">
        <v>321</v>
      </c>
      <c r="D66" s="573">
        <f>SUM(D58:D65)</f>
        <v>0.15398242934027781</v>
      </c>
      <c r="E66" s="574">
        <f>SUM(E58:E65)</f>
        <v>396.4077466207309</v>
      </c>
      <c r="F66" s="475"/>
      <c r="G66" s="474"/>
    </row>
    <row r="67" spans="2:8" ht="36" customHeight="1">
      <c r="B67" s="957" t="s">
        <v>322</v>
      </c>
      <c r="C67" s="958"/>
      <c r="D67" s="575">
        <f>D37+D43+D47+D56+D66</f>
        <v>0.7152171515625001</v>
      </c>
      <c r="E67" s="576">
        <f>E37+E43+E47+E56+E66</f>
        <v>1841.2335784679531</v>
      </c>
      <c r="F67" s="475"/>
      <c r="G67" s="474"/>
      <c r="H67" s="249"/>
    </row>
    <row r="68" spans="2:8" ht="36.75" customHeight="1">
      <c r="B68" s="479">
        <v>5</v>
      </c>
      <c r="C68" s="480" t="s">
        <v>323</v>
      </c>
      <c r="D68" s="481"/>
      <c r="E68" s="482"/>
      <c r="F68" s="475"/>
      <c r="G68" s="474"/>
    </row>
    <row r="69" spans="2:8" ht="32.25" customHeight="1">
      <c r="B69" s="519" t="s">
        <v>195</v>
      </c>
      <c r="C69" s="520" t="s">
        <v>324</v>
      </c>
      <c r="D69" s="509"/>
      <c r="E69" s="577">
        <f>Uniformes!I14</f>
        <v>109.90166666666667</v>
      </c>
      <c r="F69" s="475"/>
      <c r="G69" s="474"/>
    </row>
    <row r="70" spans="2:8" ht="28.5" customHeight="1">
      <c r="B70" s="519" t="s">
        <v>197</v>
      </c>
      <c r="C70" s="520" t="s">
        <v>325</v>
      </c>
      <c r="D70" s="578"/>
      <c r="E70" s="510"/>
      <c r="F70" s="475"/>
      <c r="G70" s="474"/>
    </row>
    <row r="71" spans="2:8" ht="30" customHeight="1">
      <c r="B71" s="519" t="s">
        <v>199</v>
      </c>
      <c r="C71" s="520" t="s">
        <v>326</v>
      </c>
      <c r="D71" s="578"/>
      <c r="E71" s="510"/>
      <c r="F71" s="475"/>
      <c r="G71" s="474"/>
    </row>
    <row r="72" spans="2:8" ht="32.25" customHeight="1">
      <c r="B72" s="479">
        <v>5</v>
      </c>
      <c r="C72" s="501" t="s">
        <v>327</v>
      </c>
      <c r="D72" s="502"/>
      <c r="E72" s="579">
        <f>SUM(E69:E71)</f>
        <v>109.90166666666667</v>
      </c>
      <c r="F72" s="475"/>
      <c r="G72" s="474"/>
    </row>
    <row r="73" spans="2:8" ht="33" customHeight="1">
      <c r="B73" s="959" t="s">
        <v>328</v>
      </c>
      <c r="C73" s="960"/>
      <c r="D73" s="580"/>
      <c r="E73" s="581">
        <f>E17+E48+E56+E66+E72</f>
        <v>6260.8785784679521</v>
      </c>
      <c r="F73" s="475"/>
      <c r="G73" s="474"/>
    </row>
    <row r="74" spans="2:8" ht="33" customHeight="1">
      <c r="B74" s="474"/>
      <c r="C74" s="474"/>
      <c r="D74" s="474"/>
      <c r="E74" s="474"/>
      <c r="F74" s="474"/>
      <c r="G74" s="474"/>
    </row>
    <row r="75" spans="2:8" ht="39" customHeight="1">
      <c r="B75" s="582" t="s">
        <v>99</v>
      </c>
      <c r="C75" s="961"/>
      <c r="D75" s="962"/>
      <c r="E75" s="962"/>
      <c r="F75" s="475"/>
      <c r="G75" s="474"/>
    </row>
    <row r="76" spans="2:8" ht="81.75" customHeight="1">
      <c r="B76" s="583" t="s">
        <v>329</v>
      </c>
      <c r="C76" s="948" t="s">
        <v>330</v>
      </c>
      <c r="D76" s="949"/>
      <c r="E76" s="950"/>
      <c r="F76" s="475"/>
      <c r="G76" s="474"/>
    </row>
    <row r="77" spans="2:8" ht="40.5" customHeight="1">
      <c r="B77" s="583" t="s">
        <v>331</v>
      </c>
      <c r="C77" s="948" t="s">
        <v>332</v>
      </c>
      <c r="D77" s="949"/>
      <c r="E77" s="950"/>
      <c r="F77" s="475"/>
      <c r="G77" s="474"/>
    </row>
    <row r="78" spans="2:8" ht="51.75" customHeight="1">
      <c r="B78" s="584" t="s">
        <v>333</v>
      </c>
      <c r="C78" s="948" t="s">
        <v>334</v>
      </c>
      <c r="D78" s="949"/>
      <c r="E78" s="950"/>
      <c r="F78" s="475"/>
      <c r="G78" s="474"/>
    </row>
    <row r="79" spans="2:8" ht="33" customHeight="1">
      <c r="B79" s="585"/>
      <c r="C79" s="586"/>
      <c r="D79" s="587"/>
      <c r="E79" s="588"/>
      <c r="F79" s="475"/>
      <c r="G79" s="474"/>
    </row>
    <row r="80" spans="2:8" ht="33" customHeight="1">
      <c r="B80" s="585"/>
      <c r="C80" s="586"/>
      <c r="D80" s="587"/>
      <c r="E80" s="588"/>
      <c r="F80" s="475"/>
      <c r="G80" s="474"/>
    </row>
    <row r="81" spans="2:7" ht="33" customHeight="1">
      <c r="B81" s="585"/>
      <c r="C81" s="586"/>
      <c r="D81" s="587"/>
      <c r="E81" s="588"/>
      <c r="F81" s="475"/>
      <c r="G81" s="474"/>
    </row>
    <row r="82" spans="2:7" ht="33" customHeight="1">
      <c r="B82" s="585"/>
      <c r="C82" s="586"/>
      <c r="D82" s="587"/>
      <c r="E82" s="588"/>
      <c r="F82" s="475"/>
      <c r="G82" s="474"/>
    </row>
    <row r="83" spans="2:7" ht="33" customHeight="1">
      <c r="B83" s="250"/>
      <c r="C83" s="251"/>
      <c r="D83" s="252"/>
      <c r="E83" s="253"/>
      <c r="F83" s="247"/>
    </row>
    <row r="84" spans="2:7" ht="33" customHeight="1">
      <c r="B84" s="250"/>
      <c r="C84" s="251"/>
      <c r="D84" s="252"/>
      <c r="E84" s="253"/>
      <c r="F84" s="247"/>
    </row>
    <row r="85" spans="2:7" ht="33" customHeight="1">
      <c r="B85" s="250"/>
      <c r="C85" s="251"/>
      <c r="D85" s="252"/>
      <c r="E85" s="253"/>
      <c r="F85" s="247"/>
    </row>
    <row r="86" spans="2:7" ht="33" customHeight="1">
      <c r="B86" s="250"/>
      <c r="C86" s="251"/>
      <c r="D86" s="252"/>
      <c r="E86" s="253"/>
      <c r="F86" s="247"/>
    </row>
    <row r="87" spans="2:7" ht="33" customHeight="1">
      <c r="B87" s="250"/>
      <c r="C87" s="251"/>
      <c r="D87" s="252"/>
      <c r="E87" s="253"/>
      <c r="F87" s="247"/>
    </row>
  </sheetData>
  <mergeCells count="9">
    <mergeCell ref="C76:E76"/>
    <mergeCell ref="C77:E77"/>
    <mergeCell ref="C78:E78"/>
    <mergeCell ref="B2:E2"/>
    <mergeCell ref="B3:E3"/>
    <mergeCell ref="B13:C13"/>
    <mergeCell ref="B67:C67"/>
    <mergeCell ref="B73:C73"/>
    <mergeCell ref="C75:E75"/>
  </mergeCells>
  <printOptions horizontalCentered="1" verticalCentered="1"/>
  <pageMargins left="0.39370078740157483" right="0.39370078740157483" top="0.39370078740157483" bottom="0.39370078740157483" header="0" footer="0"/>
  <pageSetup paperSize="9" scale="30" orientation="portrait" r:id="rId1"/>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1:K86"/>
  <sheetViews>
    <sheetView showGridLines="0" topLeftCell="B1" zoomScale="60" zoomScaleNormal="60" workbookViewId="0">
      <selection activeCell="C65" sqref="C65"/>
    </sheetView>
  </sheetViews>
  <sheetFormatPr defaultColWidth="9.140625" defaultRowHeight="25.5"/>
  <cols>
    <col min="1" max="1" width="4.85546875" style="246" customWidth="1"/>
    <col min="2" max="2" width="11" style="254" customWidth="1"/>
    <col min="3" max="3" width="131.7109375" style="255" customWidth="1"/>
    <col min="4" max="4" width="28" style="256" customWidth="1"/>
    <col min="5" max="5" width="24.5703125" style="257" customWidth="1"/>
    <col min="6" max="6" width="6.140625" style="245" customWidth="1"/>
    <col min="7" max="7" width="9.140625" style="246"/>
    <col min="8" max="8" width="21.28515625" style="246" customWidth="1"/>
    <col min="9" max="10" width="9.140625" style="246"/>
    <col min="11" max="11" width="14.7109375" style="249" bestFit="1" customWidth="1"/>
    <col min="12" max="16384" width="9.140625" style="246"/>
  </cols>
  <sheetData>
    <row r="1" spans="2:7" ht="15.75">
      <c r="B1" s="469"/>
      <c r="C1" s="470"/>
      <c r="D1" s="471"/>
      <c r="E1" s="472"/>
      <c r="F1" s="473"/>
      <c r="G1" s="474"/>
    </row>
    <row r="2" spans="2:7" ht="33.75" customHeight="1">
      <c r="B2" s="951" t="str">
        <f>CONCATENATE("Planilha do Custo Direto da Mão de Obra - ", 'Descrição postos'!C8)</f>
        <v>Planilha do Custo Direto da Mão de Obra - Copeiro</v>
      </c>
      <c r="C2" s="952"/>
      <c r="D2" s="952"/>
      <c r="E2" s="953"/>
      <c r="F2" s="473"/>
      <c r="G2" s="474"/>
    </row>
    <row r="3" spans="2:7" ht="33.75" customHeight="1">
      <c r="B3" s="954" t="s">
        <v>266</v>
      </c>
      <c r="C3" s="954"/>
      <c r="D3" s="954"/>
      <c r="E3" s="954"/>
      <c r="F3" s="475"/>
      <c r="G3" s="474"/>
    </row>
    <row r="4" spans="2:7" ht="35.25" customHeight="1">
      <c r="B4" s="476" t="s">
        <v>127</v>
      </c>
      <c r="C4" s="476" t="s">
        <v>267</v>
      </c>
      <c r="D4" s="477" t="s">
        <v>268</v>
      </c>
      <c r="E4" s="478" t="s">
        <v>269</v>
      </c>
      <c r="F4" s="475"/>
      <c r="G4" s="474"/>
    </row>
    <row r="5" spans="2:7" ht="31.5" customHeight="1">
      <c r="B5" s="479">
        <v>1</v>
      </c>
      <c r="C5" s="480" t="s">
        <v>270</v>
      </c>
      <c r="D5" s="481"/>
      <c r="E5" s="482"/>
      <c r="F5" s="475"/>
      <c r="G5" s="474"/>
    </row>
    <row r="6" spans="2:7" ht="30.75" customHeight="1">
      <c r="B6" s="483" t="s">
        <v>195</v>
      </c>
      <c r="C6" s="484" t="s">
        <v>271</v>
      </c>
      <c r="D6" s="485"/>
      <c r="E6" s="486">
        <f>'Descrição postos'!F8</f>
        <v>1743.49</v>
      </c>
      <c r="F6" s="475"/>
      <c r="G6" s="474"/>
    </row>
    <row r="7" spans="2:7" ht="27" customHeight="1">
      <c r="B7" s="487" t="s">
        <v>197</v>
      </c>
      <c r="C7" s="488" t="s">
        <v>272</v>
      </c>
      <c r="D7" s="489"/>
      <c r="E7" s="490"/>
      <c r="F7" s="475"/>
      <c r="G7" s="474"/>
    </row>
    <row r="8" spans="2:7" ht="27" customHeight="1">
      <c r="B8" s="487"/>
      <c r="C8" s="491" t="s">
        <v>273</v>
      </c>
      <c r="D8" s="492"/>
      <c r="E8" s="490"/>
      <c r="F8" s="475"/>
      <c r="G8" s="474"/>
    </row>
    <row r="9" spans="2:7" ht="27.75" customHeight="1">
      <c r="B9" s="487" t="s">
        <v>199</v>
      </c>
      <c r="C9" s="488" t="s">
        <v>274</v>
      </c>
      <c r="D9" s="493"/>
      <c r="E9" s="494"/>
      <c r="F9" s="475"/>
      <c r="G9" s="474"/>
    </row>
    <row r="10" spans="2:7" ht="29.25" customHeight="1">
      <c r="B10" s="487" t="s">
        <v>201</v>
      </c>
      <c r="C10" s="488" t="s">
        <v>275</v>
      </c>
      <c r="D10" s="489"/>
      <c r="E10" s="490"/>
      <c r="F10" s="475"/>
      <c r="G10" s="474"/>
    </row>
    <row r="11" spans="2:7" ht="29.25" customHeight="1">
      <c r="B11" s="487" t="s">
        <v>203</v>
      </c>
      <c r="C11" s="488" t="s">
        <v>276</v>
      </c>
      <c r="D11" s="489"/>
      <c r="E11" s="490"/>
      <c r="F11" s="475"/>
      <c r="G11" s="474"/>
    </row>
    <row r="12" spans="2:7" ht="30.75" customHeight="1">
      <c r="B12" s="487" t="s">
        <v>205</v>
      </c>
      <c r="C12" s="488" t="s">
        <v>277</v>
      </c>
      <c r="D12" s="489"/>
      <c r="E12" s="490"/>
      <c r="F12" s="475"/>
      <c r="G12" s="474"/>
    </row>
    <row r="13" spans="2:7" ht="33" customHeight="1">
      <c r="B13" s="955" t="s">
        <v>335</v>
      </c>
      <c r="C13" s="956"/>
      <c r="D13" s="495"/>
      <c r="E13" s="496">
        <f>SUM(E6:E12)</f>
        <v>1743.49</v>
      </c>
      <c r="F13" s="475"/>
      <c r="G13" s="474"/>
    </row>
    <row r="14" spans="2:7" ht="33" customHeight="1">
      <c r="B14" s="497"/>
      <c r="C14" s="498" t="s">
        <v>279</v>
      </c>
      <c r="D14" s="489"/>
      <c r="E14" s="490"/>
      <c r="F14" s="475"/>
      <c r="G14" s="474"/>
    </row>
    <row r="15" spans="2:7" ht="31.5" customHeight="1">
      <c r="B15" s="497" t="s">
        <v>207</v>
      </c>
      <c r="C15" s="499" t="s">
        <v>280</v>
      </c>
      <c r="D15" s="489"/>
      <c r="E15" s="500"/>
      <c r="F15" s="475"/>
      <c r="G15" s="474"/>
    </row>
    <row r="16" spans="2:7" ht="31.5" customHeight="1">
      <c r="B16" s="497" t="s">
        <v>211</v>
      </c>
      <c r="C16" s="499" t="s">
        <v>282</v>
      </c>
      <c r="D16" s="489"/>
      <c r="E16" s="500"/>
      <c r="F16" s="475"/>
      <c r="G16" s="474"/>
    </row>
    <row r="17" spans="2:8" ht="33.75" customHeight="1">
      <c r="B17" s="479">
        <v>1</v>
      </c>
      <c r="C17" s="501" t="s">
        <v>283</v>
      </c>
      <c r="D17" s="502"/>
      <c r="E17" s="503">
        <f>E13+E15</f>
        <v>1743.49</v>
      </c>
      <c r="F17" s="475"/>
      <c r="G17" s="474"/>
    </row>
    <row r="18" spans="2:8" ht="33.75" customHeight="1">
      <c r="B18" s="479">
        <v>2</v>
      </c>
      <c r="C18" s="480" t="s">
        <v>284</v>
      </c>
      <c r="D18" s="481"/>
      <c r="E18" s="482"/>
      <c r="F18" s="475"/>
      <c r="G18" s="474"/>
    </row>
    <row r="19" spans="2:8" ht="33.75" customHeight="1">
      <c r="B19" s="495"/>
      <c r="C19" s="504" t="s">
        <v>285</v>
      </c>
      <c r="D19" s="505"/>
      <c r="E19" s="506"/>
      <c r="F19" s="475"/>
      <c r="G19" s="474"/>
    </row>
    <row r="20" spans="2:8" ht="33.75" customHeight="1">
      <c r="B20" s="507" t="s">
        <v>195</v>
      </c>
      <c r="C20" s="508" t="s">
        <v>286</v>
      </c>
      <c r="D20" s="509"/>
      <c r="E20" s="510">
        <f>'Escalas, VT e VA'!J19</f>
        <v>697.40000000000009</v>
      </c>
      <c r="F20" s="475"/>
      <c r="G20" s="474"/>
    </row>
    <row r="21" spans="2:8" ht="33.75" customHeight="1">
      <c r="B21" s="507" t="s">
        <v>197</v>
      </c>
      <c r="C21" s="508" t="s">
        <v>287</v>
      </c>
      <c r="D21" s="509"/>
      <c r="E21" s="511">
        <f>ROUND(IF(ABS(-0.06*E6)&gt;E20,-1*E20,-6/100*E6),2)</f>
        <v>-104.61</v>
      </c>
      <c r="F21" s="475"/>
      <c r="G21" s="474"/>
      <c r="H21" s="248"/>
    </row>
    <row r="22" spans="2:8" ht="33.75" customHeight="1">
      <c r="B22" s="507" t="s">
        <v>199</v>
      </c>
      <c r="C22" s="508" t="s">
        <v>117</v>
      </c>
      <c r="D22" s="509"/>
      <c r="E22" s="510">
        <f>'Escalas, VT e VA'!H29</f>
        <v>974.6</v>
      </c>
      <c r="F22" s="475"/>
      <c r="G22" s="474"/>
    </row>
    <row r="23" spans="2:8" ht="33.75" customHeight="1">
      <c r="B23" s="507" t="s">
        <v>201</v>
      </c>
      <c r="C23" s="512" t="s">
        <v>288</v>
      </c>
      <c r="D23" s="509"/>
      <c r="E23" s="510">
        <v>200</v>
      </c>
      <c r="F23" s="475"/>
      <c r="G23" s="474"/>
    </row>
    <row r="24" spans="2:8" ht="33.75" customHeight="1">
      <c r="B24" s="507" t="s">
        <v>203</v>
      </c>
      <c r="C24" s="512" t="s">
        <v>289</v>
      </c>
      <c r="D24" s="509"/>
      <c r="E24" s="510">
        <v>3.61</v>
      </c>
      <c r="F24" s="475"/>
      <c r="G24" s="474"/>
    </row>
    <row r="25" spans="2:8" ht="33.75" customHeight="1">
      <c r="B25" s="507" t="s">
        <v>205</v>
      </c>
      <c r="C25" s="512" t="s">
        <v>290</v>
      </c>
      <c r="D25" s="509"/>
      <c r="E25" s="513">
        <v>13.64</v>
      </c>
      <c r="F25" s="475"/>
      <c r="G25" s="474"/>
    </row>
    <row r="26" spans="2:8" ht="33.75" customHeight="1">
      <c r="B26" s="507" t="s">
        <v>207</v>
      </c>
      <c r="C26" s="512" t="s">
        <v>291</v>
      </c>
      <c r="D26" s="509"/>
      <c r="E26" s="513">
        <f>14/12*0.5</f>
        <v>0.58333333333333337</v>
      </c>
      <c r="F26" s="475"/>
      <c r="G26" s="474"/>
    </row>
    <row r="27" spans="2:8" ht="33.75" customHeight="1">
      <c r="B27" s="514"/>
      <c r="C27" s="515" t="s">
        <v>292</v>
      </c>
      <c r="D27" s="516"/>
      <c r="E27" s="517">
        <f>SUM(E20:E26)</f>
        <v>1785.2233333333334</v>
      </c>
      <c r="F27" s="475"/>
      <c r="G27" s="474"/>
    </row>
    <row r="28" spans="2:8" ht="33.75" customHeight="1">
      <c r="B28" s="518"/>
      <c r="C28" s="504" t="s">
        <v>293</v>
      </c>
      <c r="D28" s="505"/>
      <c r="E28" s="506"/>
      <c r="F28" s="475"/>
      <c r="G28" s="474"/>
    </row>
    <row r="29" spans="2:8" ht="33.75" customHeight="1">
      <c r="B29" s="519" t="s">
        <v>195</v>
      </c>
      <c r="C29" s="520" t="s">
        <v>294</v>
      </c>
      <c r="D29" s="509">
        <v>0.2</v>
      </c>
      <c r="E29" s="510">
        <f>D29*$E$13</f>
        <v>348.69800000000004</v>
      </c>
      <c r="F29" s="475"/>
      <c r="G29" s="474"/>
    </row>
    <row r="30" spans="2:8" ht="51.75" customHeight="1">
      <c r="B30" s="519" t="s">
        <v>197</v>
      </c>
      <c r="C30" s="520" t="s">
        <v>295</v>
      </c>
      <c r="D30" s="521">
        <v>1.4999999999999999E-2</v>
      </c>
      <c r="E30" s="510">
        <f t="shared" ref="E30:E36" si="0">D30*$E$13</f>
        <v>26.152349999999998</v>
      </c>
      <c r="F30" s="475"/>
      <c r="G30" s="474"/>
    </row>
    <row r="31" spans="2:8" ht="51" customHeight="1">
      <c r="B31" s="519" t="s">
        <v>199</v>
      </c>
      <c r="C31" s="522" t="s">
        <v>296</v>
      </c>
      <c r="D31" s="521">
        <v>0.01</v>
      </c>
      <c r="E31" s="510">
        <f t="shared" si="0"/>
        <v>17.434899999999999</v>
      </c>
      <c r="F31" s="475"/>
      <c r="G31" s="474"/>
    </row>
    <row r="32" spans="2:8" ht="33.75" customHeight="1">
      <c r="B32" s="519" t="s">
        <v>201</v>
      </c>
      <c r="C32" s="520" t="s">
        <v>297</v>
      </c>
      <c r="D32" s="521">
        <v>2E-3</v>
      </c>
      <c r="E32" s="510">
        <f t="shared" si="0"/>
        <v>3.48698</v>
      </c>
      <c r="F32" s="475"/>
      <c r="G32" s="474"/>
    </row>
    <row r="33" spans="2:7" ht="33.75" customHeight="1">
      <c r="B33" s="519" t="s">
        <v>203</v>
      </c>
      <c r="C33" s="520" t="s">
        <v>298</v>
      </c>
      <c r="D33" s="521">
        <v>2.5000000000000001E-2</v>
      </c>
      <c r="E33" s="510">
        <f t="shared" si="0"/>
        <v>43.587250000000004</v>
      </c>
      <c r="F33" s="475"/>
      <c r="G33" s="474"/>
    </row>
    <row r="34" spans="2:7" ht="33.75" customHeight="1">
      <c r="B34" s="523" t="s">
        <v>205</v>
      </c>
      <c r="C34" s="524" t="s">
        <v>299</v>
      </c>
      <c r="D34" s="525">
        <v>0.08</v>
      </c>
      <c r="E34" s="510">
        <f t="shared" si="0"/>
        <v>139.47919999999999</v>
      </c>
      <c r="F34" s="475"/>
      <c r="G34" s="474"/>
    </row>
    <row r="35" spans="2:7" ht="33.75" customHeight="1">
      <c r="B35" s="519" t="s">
        <v>207</v>
      </c>
      <c r="C35" s="520" t="s">
        <v>300</v>
      </c>
      <c r="D35" s="521">
        <f>3%*1</f>
        <v>0.03</v>
      </c>
      <c r="E35" s="510">
        <f t="shared" si="0"/>
        <v>52.304699999999997</v>
      </c>
      <c r="F35" s="475"/>
      <c r="G35" s="474"/>
    </row>
    <row r="36" spans="2:7" ht="33.75" customHeight="1">
      <c r="B36" s="519" t="s">
        <v>211</v>
      </c>
      <c r="C36" s="520" t="s">
        <v>301</v>
      </c>
      <c r="D36" s="525">
        <v>6.0000000000000001E-3</v>
      </c>
      <c r="E36" s="510">
        <f t="shared" si="0"/>
        <v>10.460940000000001</v>
      </c>
      <c r="F36" s="475"/>
      <c r="G36" s="474"/>
    </row>
    <row r="37" spans="2:7" ht="33.75" customHeight="1">
      <c r="B37" s="505"/>
      <c r="C37" s="515" t="s">
        <v>302</v>
      </c>
      <c r="D37" s="516">
        <f>SUM(D29:D36)</f>
        <v>0.3680000000000001</v>
      </c>
      <c r="E37" s="517">
        <f>SUM(E29:E36)</f>
        <v>641.60432000000014</v>
      </c>
      <c r="F37" s="475"/>
      <c r="G37" s="474"/>
    </row>
    <row r="38" spans="2:7" ht="33.75" customHeight="1">
      <c r="B38" s="518"/>
      <c r="C38" s="504" t="s">
        <v>303</v>
      </c>
      <c r="D38" s="505"/>
      <c r="E38" s="496"/>
      <c r="F38" s="475"/>
      <c r="G38" s="474"/>
    </row>
    <row r="39" spans="2:7" ht="33.75" customHeight="1">
      <c r="B39" s="487" t="s">
        <v>195</v>
      </c>
      <c r="C39" s="526" t="s">
        <v>215</v>
      </c>
      <c r="D39" s="489">
        <f>1/12</f>
        <v>8.3333333333333329E-2</v>
      </c>
      <c r="E39" s="490">
        <f>D39*$E$13</f>
        <v>145.29083333333332</v>
      </c>
      <c r="F39" s="475"/>
      <c r="G39" s="474"/>
    </row>
    <row r="40" spans="2:7" ht="33.75" customHeight="1" thickBot="1">
      <c r="B40" s="527" t="s">
        <v>197</v>
      </c>
      <c r="C40" s="528" t="s">
        <v>218</v>
      </c>
      <c r="D40" s="529">
        <f>1/3*1/12</f>
        <v>2.7777777777777776E-2</v>
      </c>
      <c r="E40" s="490">
        <f>D40*$E$13</f>
        <v>48.430277777777775</v>
      </c>
      <c r="F40" s="475"/>
      <c r="G40" s="474"/>
    </row>
    <row r="41" spans="2:7" ht="33.75" customHeight="1" thickBot="1">
      <c r="B41" s="530" t="s">
        <v>199</v>
      </c>
      <c r="C41" s="531" t="s">
        <v>304</v>
      </c>
      <c r="D41" s="532">
        <f>D37*(D39+D40)</f>
        <v>4.0888888888888898E-2</v>
      </c>
      <c r="E41" s="533">
        <f>D41*E13</f>
        <v>71.289368888888902</v>
      </c>
      <c r="F41" s="475"/>
      <c r="G41" s="474"/>
    </row>
    <row r="42" spans="2:7" ht="33.75" customHeight="1">
      <c r="B42" s="534" t="s">
        <v>201</v>
      </c>
      <c r="C42" s="535" t="s">
        <v>224</v>
      </c>
      <c r="D42" s="536">
        <f>8/100*40/100*(D39+D40)</f>
        <v>3.5555555555555553E-3</v>
      </c>
      <c r="E42" s="537">
        <f>D42*E13</f>
        <v>6.199075555555555</v>
      </c>
      <c r="F42" s="475"/>
      <c r="G42" s="474"/>
    </row>
    <row r="43" spans="2:7" ht="31.5" customHeight="1">
      <c r="B43" s="505"/>
      <c r="C43" s="515" t="s">
        <v>305</v>
      </c>
      <c r="D43" s="516">
        <f>SUM(D39:D42)</f>
        <v>0.15555555555555556</v>
      </c>
      <c r="E43" s="517">
        <f>SUM(E39:E42)</f>
        <v>271.2095555555556</v>
      </c>
      <c r="F43" s="475"/>
      <c r="G43" s="474"/>
    </row>
    <row r="44" spans="2:7" ht="33.75" customHeight="1">
      <c r="B44" s="505"/>
      <c r="C44" s="514" t="s">
        <v>306</v>
      </c>
      <c r="D44" s="505"/>
      <c r="E44" s="506"/>
      <c r="F44" s="475"/>
      <c r="G44" s="474"/>
    </row>
    <row r="45" spans="2:7" ht="33.75" customHeight="1" thickBot="1">
      <c r="B45" s="538" t="s">
        <v>195</v>
      </c>
      <c r="C45" s="539" t="s">
        <v>307</v>
      </c>
      <c r="D45" s="540">
        <f>(1+1/3)/12*2/100*4/12</f>
        <v>7.407407407407407E-4</v>
      </c>
      <c r="E45" s="541">
        <f>D45*E13</f>
        <v>1.291474074074074</v>
      </c>
      <c r="F45" s="475"/>
      <c r="G45" s="474"/>
    </row>
    <row r="46" spans="2:7" ht="33" customHeight="1" thickBot="1">
      <c r="B46" s="542" t="s">
        <v>197</v>
      </c>
      <c r="C46" s="543" t="s">
        <v>308</v>
      </c>
      <c r="D46" s="544">
        <f>D37*D45</f>
        <v>2.7259259259259267E-4</v>
      </c>
      <c r="E46" s="545">
        <f>D46*E13</f>
        <v>0.47526245925925942</v>
      </c>
      <c r="F46" s="475"/>
      <c r="G46" s="474"/>
    </row>
    <row r="47" spans="2:7" ht="34.5" customHeight="1">
      <c r="B47" s="546"/>
      <c r="C47" s="547" t="s">
        <v>309</v>
      </c>
      <c r="D47" s="548">
        <f>SUM(D45:D46)</f>
        <v>1.0133333333333333E-3</v>
      </c>
      <c r="E47" s="549">
        <f>E45+E46</f>
        <v>1.7667365333333334</v>
      </c>
      <c r="F47" s="475"/>
      <c r="G47" s="474"/>
    </row>
    <row r="48" spans="2:7" ht="39.75" customHeight="1">
      <c r="B48" s="479">
        <v>2</v>
      </c>
      <c r="C48" s="501" t="s">
        <v>310</v>
      </c>
      <c r="D48" s="502"/>
      <c r="E48" s="503">
        <f>E27+E37+E43+E47</f>
        <v>2699.8039454222226</v>
      </c>
      <c r="F48" s="475"/>
      <c r="G48" s="474"/>
    </row>
    <row r="49" spans="2:7" ht="33" customHeight="1">
      <c r="B49" s="479">
        <v>3</v>
      </c>
      <c r="C49" s="480" t="s">
        <v>311</v>
      </c>
      <c r="D49" s="481"/>
      <c r="E49" s="482"/>
      <c r="F49" s="475"/>
      <c r="G49" s="474"/>
    </row>
    <row r="50" spans="2:7" ht="39" customHeight="1">
      <c r="B50" s="487" t="s">
        <v>195</v>
      </c>
      <c r="C50" s="526" t="s">
        <v>233</v>
      </c>
      <c r="D50" s="489">
        <f>1/12*3.5/100</f>
        <v>2.9166666666666664E-3</v>
      </c>
      <c r="E50" s="490">
        <f>D50*E13</f>
        <v>5.0851791666666664</v>
      </c>
      <c r="F50" s="475"/>
      <c r="G50" s="474"/>
    </row>
    <row r="51" spans="2:7" ht="39" customHeight="1" thickBot="1">
      <c r="B51" s="550" t="s">
        <v>197</v>
      </c>
      <c r="C51" s="551" t="s">
        <v>236</v>
      </c>
      <c r="D51" s="552">
        <f>3.5/100*1/12*(1/12+(1+1/3)/12)</f>
        <v>5.6712962962962956E-4</v>
      </c>
      <c r="E51" s="490">
        <f>D51*E13</f>
        <v>0.98878483796296279</v>
      </c>
      <c r="F51" s="475"/>
      <c r="G51" s="474"/>
    </row>
    <row r="52" spans="2:7" ht="35.25" customHeight="1" thickBot="1">
      <c r="B52" s="530" t="s">
        <v>199</v>
      </c>
      <c r="C52" s="553" t="s">
        <v>312</v>
      </c>
      <c r="D52" s="554">
        <f>(D37-D34)*1/12*D50</f>
        <v>7.0000000000000021E-5</v>
      </c>
      <c r="E52" s="533">
        <f>D52*E13</f>
        <v>0.12204430000000004</v>
      </c>
      <c r="F52" s="475"/>
      <c r="G52" s="474"/>
    </row>
    <row r="53" spans="2:7" ht="31.5" customHeight="1">
      <c r="B53" s="555" t="s">
        <v>201</v>
      </c>
      <c r="C53" s="556" t="s">
        <v>313</v>
      </c>
      <c r="D53" s="557">
        <f>8/100*(D50+D51)</f>
        <v>2.787037037037037E-4</v>
      </c>
      <c r="E53" s="537">
        <f>D53*E13</f>
        <v>0.48591712037037038</v>
      </c>
      <c r="F53" s="475"/>
      <c r="G53" s="474"/>
    </row>
    <row r="54" spans="2:7" ht="31.5" customHeight="1">
      <c r="B54" s="487" t="s">
        <v>203</v>
      </c>
      <c r="C54" s="488" t="s">
        <v>314</v>
      </c>
      <c r="D54" s="529">
        <f>8/100*40/100</f>
        <v>3.2000000000000001E-2</v>
      </c>
      <c r="E54" s="490">
        <f>D54*E13</f>
        <v>55.791679999999999</v>
      </c>
      <c r="F54" s="475"/>
      <c r="G54" s="474"/>
    </row>
    <row r="55" spans="2:7" ht="29.25" customHeight="1">
      <c r="B55" s="519" t="s">
        <v>205</v>
      </c>
      <c r="C55" s="520" t="s">
        <v>315</v>
      </c>
      <c r="D55" s="529">
        <f>1/12*1/100</f>
        <v>8.3333333333333328E-4</v>
      </c>
      <c r="E55" s="490">
        <f>D55*E13</f>
        <v>1.4529083333333332</v>
      </c>
      <c r="F55" s="475"/>
      <c r="G55" s="474"/>
    </row>
    <row r="56" spans="2:7" ht="32.25" customHeight="1">
      <c r="B56" s="479">
        <v>3</v>
      </c>
      <c r="C56" s="558" t="s">
        <v>316</v>
      </c>
      <c r="D56" s="559">
        <f>SUM(D50:D55)</f>
        <v>3.6665833333333335E-2</v>
      </c>
      <c r="E56" s="560">
        <f>SUM(E50:E55)</f>
        <v>63.926513758333336</v>
      </c>
      <c r="F56" s="475"/>
      <c r="G56" s="474"/>
    </row>
    <row r="57" spans="2:7" ht="33" customHeight="1">
      <c r="B57" s="479">
        <v>4</v>
      </c>
      <c r="C57" s="480" t="s">
        <v>317</v>
      </c>
      <c r="D57" s="481"/>
      <c r="E57" s="482"/>
      <c r="F57" s="475"/>
      <c r="G57" s="474"/>
    </row>
    <row r="58" spans="2:7" ht="33" customHeight="1">
      <c r="B58" s="519" t="s">
        <v>195</v>
      </c>
      <c r="C58" s="561" t="s">
        <v>245</v>
      </c>
      <c r="D58" s="509">
        <f>1/12</f>
        <v>8.3333333333333329E-2</v>
      </c>
      <c r="E58" s="510">
        <f>D58*$E$13</f>
        <v>145.29083333333332</v>
      </c>
      <c r="F58" s="475"/>
      <c r="G58" s="474"/>
    </row>
    <row r="59" spans="2:7" ht="30.75" customHeight="1">
      <c r="B59" s="519" t="s">
        <v>197</v>
      </c>
      <c r="C59" s="562" t="s">
        <v>318</v>
      </c>
      <c r="D59" s="509">
        <f>5/30*1/12*1.5/100</f>
        <v>2.0833333333333332E-4</v>
      </c>
      <c r="E59" s="510">
        <f t="shared" ref="E59:E61" si="1">D59*$E$13</f>
        <v>0.36322708333333331</v>
      </c>
      <c r="F59" s="475"/>
      <c r="G59" s="474"/>
    </row>
    <row r="60" spans="2:7" ht="35.25" customHeight="1">
      <c r="B60" s="519" t="s">
        <v>199</v>
      </c>
      <c r="C60" s="562" t="s">
        <v>248</v>
      </c>
      <c r="D60" s="509">
        <f>1/30*1/12</f>
        <v>2.7777777777777779E-3</v>
      </c>
      <c r="E60" s="510">
        <f t="shared" si="1"/>
        <v>4.8430277777777784</v>
      </c>
      <c r="F60" s="475"/>
      <c r="G60" s="474"/>
    </row>
    <row r="61" spans="2:7" ht="29.25" customHeight="1" thickBot="1">
      <c r="B61" s="538" t="s">
        <v>201</v>
      </c>
      <c r="C61" s="563" t="s">
        <v>249</v>
      </c>
      <c r="D61" s="540">
        <f>7/30*1/12*5/100</f>
        <v>9.7222222222222219E-4</v>
      </c>
      <c r="E61" s="510">
        <f t="shared" si="1"/>
        <v>1.6950597222222221</v>
      </c>
      <c r="F61" s="564"/>
      <c r="G61" s="474"/>
    </row>
    <row r="62" spans="2:7" ht="36" customHeight="1" thickBot="1">
      <c r="B62" s="542" t="s">
        <v>203</v>
      </c>
      <c r="C62" s="565" t="s">
        <v>251</v>
      </c>
      <c r="D62" s="532">
        <f>D37*SUM(D58:D61)</f>
        <v>3.2123333333333344E-2</v>
      </c>
      <c r="E62" s="545">
        <f>D62*E13</f>
        <v>56.006710433333353</v>
      </c>
      <c r="F62" s="475"/>
      <c r="G62" s="474"/>
    </row>
    <row r="63" spans="2:7" ht="39" customHeight="1">
      <c r="B63" s="566" t="s">
        <v>205</v>
      </c>
      <c r="C63" s="567" t="s">
        <v>319</v>
      </c>
      <c r="D63" s="568">
        <f>4.14/30*1/12</f>
        <v>1.1499999999999998E-2</v>
      </c>
      <c r="E63" s="569">
        <f>D63*E13</f>
        <v>20.050134999999997</v>
      </c>
      <c r="F63" s="475"/>
      <c r="G63" s="474"/>
    </row>
    <row r="64" spans="2:7" ht="38.25" customHeight="1" thickBot="1">
      <c r="B64" s="538" t="s">
        <v>207</v>
      </c>
      <c r="C64" s="570" t="s">
        <v>253</v>
      </c>
      <c r="D64" s="540">
        <f>15/30*1/12*8/100</f>
        <v>3.3333333333333331E-3</v>
      </c>
      <c r="E64" s="541">
        <f>D64*E13</f>
        <v>5.811633333333333</v>
      </c>
      <c r="F64" s="475"/>
      <c r="G64" s="474"/>
    </row>
    <row r="65" spans="2:8" ht="37.5" customHeight="1" thickBot="1">
      <c r="B65" s="542" t="s">
        <v>211</v>
      </c>
      <c r="C65" s="565" t="s">
        <v>320</v>
      </c>
      <c r="D65" s="544">
        <f>(D43+D47+D56)*(D58+D59+D60+D61+D63+D64)</f>
        <v>1.9734096006944445E-2</v>
      </c>
      <c r="E65" s="545">
        <f>D65*E13</f>
        <v>34.406199047147567</v>
      </c>
      <c r="F65" s="475"/>
      <c r="G65" s="474"/>
    </row>
    <row r="66" spans="2:8" ht="36" customHeight="1">
      <c r="B66" s="571">
        <v>4</v>
      </c>
      <c r="C66" s="572" t="s">
        <v>321</v>
      </c>
      <c r="D66" s="573">
        <f>SUM(D58:D65)</f>
        <v>0.15398242934027781</v>
      </c>
      <c r="E66" s="574">
        <f>SUM(E58:E65)</f>
        <v>268.46682573048093</v>
      </c>
      <c r="F66" s="475"/>
      <c r="G66" s="474"/>
    </row>
    <row r="67" spans="2:8" ht="36" customHeight="1">
      <c r="B67" s="957" t="s">
        <v>322</v>
      </c>
      <c r="C67" s="958"/>
      <c r="D67" s="575">
        <f>D37+D43+D47+D56+D66</f>
        <v>0.7152171515625001</v>
      </c>
      <c r="E67" s="576">
        <f>E37+E43+E47+E56+E66</f>
        <v>1246.9739515777035</v>
      </c>
      <c r="F67" s="475"/>
      <c r="G67" s="474"/>
      <c r="H67" s="249"/>
    </row>
    <row r="68" spans="2:8" ht="36.75" customHeight="1">
      <c r="B68" s="479">
        <v>5</v>
      </c>
      <c r="C68" s="480" t="s">
        <v>323</v>
      </c>
      <c r="D68" s="481"/>
      <c r="E68" s="482"/>
      <c r="F68" s="475"/>
      <c r="G68" s="474"/>
    </row>
    <row r="69" spans="2:8" ht="32.25" customHeight="1">
      <c r="B69" s="519" t="s">
        <v>195</v>
      </c>
      <c r="C69" s="520" t="s">
        <v>324</v>
      </c>
      <c r="D69" s="509"/>
      <c r="E69" s="577">
        <f>Uniformes!I14</f>
        <v>109.90166666666667</v>
      </c>
      <c r="F69" s="475"/>
      <c r="G69" s="474"/>
    </row>
    <row r="70" spans="2:8" ht="28.5" customHeight="1">
      <c r="B70" s="519" t="s">
        <v>197</v>
      </c>
      <c r="C70" s="520" t="s">
        <v>325</v>
      </c>
      <c r="D70" s="578"/>
      <c r="E70" s="510"/>
      <c r="F70" s="475"/>
      <c r="G70" s="474"/>
    </row>
    <row r="71" spans="2:8" ht="30" customHeight="1">
      <c r="B71" s="519" t="s">
        <v>199</v>
      </c>
      <c r="C71" s="520" t="s">
        <v>326</v>
      </c>
      <c r="D71" s="578"/>
      <c r="E71" s="510"/>
      <c r="F71" s="475"/>
      <c r="G71" s="474"/>
    </row>
    <row r="72" spans="2:8" ht="32.25" customHeight="1">
      <c r="B72" s="590">
        <v>5</v>
      </c>
      <c r="C72" s="591" t="s">
        <v>327</v>
      </c>
      <c r="D72" s="502"/>
      <c r="E72" s="579">
        <f>SUM(E69:E71)</f>
        <v>109.90166666666667</v>
      </c>
      <c r="F72" s="475"/>
      <c r="G72" s="474"/>
    </row>
    <row r="73" spans="2:8" ht="33" customHeight="1">
      <c r="B73" s="963" t="s">
        <v>328</v>
      </c>
      <c r="C73" s="964"/>
      <c r="D73" s="589"/>
      <c r="E73" s="581">
        <f>E17+E48+E56+E66+E72</f>
        <v>4885.5889515777035</v>
      </c>
      <c r="F73" s="475"/>
      <c r="G73" s="474"/>
    </row>
    <row r="74" spans="2:8" ht="39" customHeight="1">
      <c r="B74" s="582" t="s">
        <v>99</v>
      </c>
      <c r="C74" s="961"/>
      <c r="D74" s="962"/>
      <c r="E74" s="962"/>
      <c r="F74" s="475"/>
      <c r="G74" s="474"/>
    </row>
    <row r="75" spans="2:8" ht="81.75" customHeight="1">
      <c r="B75" s="583" t="s">
        <v>329</v>
      </c>
      <c r="C75" s="948" t="s">
        <v>330</v>
      </c>
      <c r="D75" s="949"/>
      <c r="E75" s="950"/>
      <c r="F75" s="475"/>
      <c r="G75" s="474"/>
    </row>
    <row r="76" spans="2:8" ht="40.5" customHeight="1">
      <c r="B76" s="583" t="s">
        <v>331</v>
      </c>
      <c r="C76" s="948" t="s">
        <v>332</v>
      </c>
      <c r="D76" s="949"/>
      <c r="E76" s="950"/>
      <c r="F76" s="475"/>
      <c r="G76" s="474"/>
    </row>
    <row r="77" spans="2:8" ht="51.75" customHeight="1">
      <c r="B77" s="584" t="s">
        <v>333</v>
      </c>
      <c r="C77" s="948" t="s">
        <v>334</v>
      </c>
      <c r="D77" s="949"/>
      <c r="E77" s="950"/>
      <c r="F77" s="475"/>
      <c r="G77" s="474"/>
    </row>
    <row r="78" spans="2:8" ht="33" customHeight="1">
      <c r="B78" s="585"/>
      <c r="C78" s="586"/>
      <c r="D78" s="587"/>
      <c r="E78" s="588"/>
      <c r="F78" s="475"/>
      <c r="G78" s="474"/>
    </row>
    <row r="79" spans="2:8" ht="33" customHeight="1">
      <c r="B79" s="585"/>
      <c r="C79" s="586"/>
      <c r="D79" s="587"/>
      <c r="E79" s="588"/>
      <c r="F79" s="475"/>
      <c r="G79" s="474"/>
    </row>
    <row r="80" spans="2:8" ht="33" customHeight="1">
      <c r="B80" s="585"/>
      <c r="C80" s="586"/>
      <c r="D80" s="587"/>
      <c r="E80" s="588"/>
      <c r="F80" s="475"/>
      <c r="G80" s="474"/>
    </row>
    <row r="81" spans="2:6" ht="33" customHeight="1">
      <c r="B81" s="250"/>
      <c r="C81" s="251"/>
      <c r="D81" s="252"/>
      <c r="E81" s="253"/>
      <c r="F81" s="247"/>
    </row>
    <row r="82" spans="2:6" ht="33" customHeight="1">
      <c r="B82" s="250"/>
      <c r="C82" s="251"/>
      <c r="D82" s="252"/>
      <c r="E82" s="253"/>
      <c r="F82" s="247"/>
    </row>
    <row r="83" spans="2:6" ht="33" customHeight="1">
      <c r="B83" s="250"/>
      <c r="C83" s="251"/>
      <c r="D83" s="252"/>
      <c r="E83" s="253"/>
      <c r="F83" s="247"/>
    </row>
    <row r="84" spans="2:6" ht="33" customHeight="1">
      <c r="B84" s="250"/>
      <c r="C84" s="251"/>
      <c r="D84" s="252"/>
      <c r="E84" s="253"/>
      <c r="F84" s="247"/>
    </row>
    <row r="85" spans="2:6" ht="33" customHeight="1">
      <c r="B85" s="250"/>
      <c r="C85" s="251"/>
      <c r="D85" s="252"/>
      <c r="E85" s="253"/>
      <c r="F85" s="247"/>
    </row>
    <row r="86" spans="2:6" ht="33" customHeight="1">
      <c r="B86" s="250"/>
      <c r="C86" s="251"/>
      <c r="D86" s="252"/>
      <c r="E86" s="253"/>
      <c r="F86" s="247"/>
    </row>
  </sheetData>
  <mergeCells count="9">
    <mergeCell ref="C75:E75"/>
    <mergeCell ref="C76:E76"/>
    <mergeCell ref="C77:E77"/>
    <mergeCell ref="B2:E2"/>
    <mergeCell ref="B3:E3"/>
    <mergeCell ref="B13:C13"/>
    <mergeCell ref="B67:C67"/>
    <mergeCell ref="B73:C73"/>
    <mergeCell ref="C74:E74"/>
  </mergeCells>
  <printOptions horizontalCentered="1" verticalCentered="1"/>
  <pageMargins left="0.39370078740157483" right="0.39370078740157483" top="0.39370078740157483" bottom="0.39370078740157483" header="0" footer="0"/>
  <pageSetup paperSize="9" scale="30" orientation="portrait" r:id="rId1"/>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IK71"/>
  <sheetViews>
    <sheetView showGridLines="0" topLeftCell="A63" zoomScale="116" zoomScaleNormal="116" zoomScaleSheetLayoutView="90" workbookViewId="0">
      <selection activeCell="C64" sqref="C64:G64"/>
    </sheetView>
  </sheetViews>
  <sheetFormatPr defaultColWidth="9.7109375" defaultRowHeight="15.75"/>
  <cols>
    <col min="1" max="1" width="9.7109375" style="120"/>
    <col min="2" max="2" width="10.28515625" style="119" customWidth="1"/>
    <col min="3" max="3" width="61.85546875" style="119" customWidth="1"/>
    <col min="4" max="4" width="13.5703125" style="119" customWidth="1"/>
    <col min="5" max="5" width="15.140625" style="119" customWidth="1"/>
    <col min="6" max="6" width="21.7109375" style="119" customWidth="1"/>
    <col min="7" max="7" width="21.140625" style="119" customWidth="1"/>
    <col min="8" max="8" width="21.7109375" style="121" customWidth="1"/>
    <col min="9" max="9" width="7.85546875" style="121" customWidth="1"/>
    <col min="10" max="10" width="24.140625" style="122" customWidth="1"/>
    <col min="11" max="11" width="31.140625" style="121" customWidth="1"/>
    <col min="12" max="12" width="20.28515625" style="121" customWidth="1"/>
    <col min="13" max="13" width="21.7109375" style="119" customWidth="1"/>
    <col min="14" max="14" width="30.42578125" style="119" customWidth="1"/>
    <col min="15" max="15" width="32.85546875" style="119" customWidth="1"/>
    <col min="16" max="238" width="9.7109375" style="119"/>
    <col min="239" max="16384" width="9.7109375" style="120"/>
  </cols>
  <sheetData>
    <row r="1" spans="1:15">
      <c r="A1" s="592"/>
      <c r="B1" s="345"/>
      <c r="C1" s="345"/>
      <c r="D1" s="345"/>
      <c r="E1" s="345"/>
      <c r="F1" s="345"/>
      <c r="G1" s="345"/>
      <c r="H1" s="345"/>
      <c r="I1" s="345"/>
      <c r="J1" s="593"/>
    </row>
    <row r="2" spans="1:15">
      <c r="A2" s="592"/>
      <c r="B2" s="965" t="s">
        <v>336</v>
      </c>
      <c r="C2" s="966"/>
      <c r="D2" s="966"/>
      <c r="E2" s="966"/>
      <c r="F2" s="966"/>
      <c r="G2" s="966"/>
      <c r="H2" s="967"/>
      <c r="I2" s="594"/>
      <c r="J2" s="593"/>
    </row>
    <row r="3" spans="1:15" ht="37.5" customHeight="1">
      <c r="A3" s="592"/>
      <c r="B3" s="595" t="s">
        <v>127</v>
      </c>
      <c r="C3" s="595" t="s">
        <v>267</v>
      </c>
      <c r="D3" s="595" t="s">
        <v>337</v>
      </c>
      <c r="E3" s="595" t="s">
        <v>338</v>
      </c>
      <c r="F3" s="596" t="s">
        <v>339</v>
      </c>
      <c r="G3" s="596" t="s">
        <v>340</v>
      </c>
      <c r="H3" s="597" t="s">
        <v>341</v>
      </c>
      <c r="I3" s="594"/>
      <c r="J3" s="594"/>
      <c r="M3" s="121"/>
      <c r="N3" s="121"/>
      <c r="O3" s="121"/>
    </row>
    <row r="4" spans="1:15">
      <c r="A4" s="592"/>
      <c r="B4" s="598">
        <v>1</v>
      </c>
      <c r="C4" s="971" t="s">
        <v>342</v>
      </c>
      <c r="D4" s="971"/>
      <c r="E4" s="971"/>
      <c r="F4" s="971"/>
      <c r="G4" s="972"/>
      <c r="H4" s="599">
        <f>ROUND(SUM(G5),2)</f>
        <v>6260.88</v>
      </c>
      <c r="I4" s="599" t="s">
        <v>195</v>
      </c>
      <c r="J4" s="594"/>
      <c r="M4" s="121"/>
      <c r="N4" s="121"/>
      <c r="O4" s="121"/>
    </row>
    <row r="5" spans="1:15" ht="40.5" customHeight="1">
      <c r="A5" s="592"/>
      <c r="B5" s="600" t="s">
        <v>343</v>
      </c>
      <c r="C5" s="600" t="str">
        <f>'Descrição postos'!C7</f>
        <v>Garçom</v>
      </c>
      <c r="D5" s="600" t="str">
        <f>'Descrição postos'!C6</f>
        <v>Posto</v>
      </c>
      <c r="E5" s="600">
        <v>1</v>
      </c>
      <c r="F5" s="601">
        <f>'1_Garçon'!E73</f>
        <v>6260.8785784679521</v>
      </c>
      <c r="G5" s="601">
        <f>ROUND(E5*F5,2)</f>
        <v>6260.88</v>
      </c>
      <c r="H5" s="602"/>
      <c r="I5" s="594"/>
      <c r="J5" s="594"/>
      <c r="M5" s="121"/>
      <c r="N5" s="121"/>
      <c r="O5" s="121"/>
    </row>
    <row r="6" spans="1:15">
      <c r="A6" s="592"/>
      <c r="B6" s="603">
        <v>6</v>
      </c>
      <c r="C6" s="972" t="s">
        <v>344</v>
      </c>
      <c r="D6" s="976"/>
      <c r="E6" s="976"/>
      <c r="F6" s="604"/>
      <c r="G6" s="604"/>
      <c r="H6" s="605"/>
      <c r="I6" s="594"/>
      <c r="J6" s="594"/>
      <c r="M6" s="121"/>
      <c r="N6" s="121"/>
      <c r="O6" s="121"/>
    </row>
    <row r="7" spans="1:15">
      <c r="A7" s="592"/>
      <c r="B7" s="606" t="s">
        <v>345</v>
      </c>
      <c r="C7" s="600" t="s">
        <v>346</v>
      </c>
      <c r="D7" s="600"/>
      <c r="E7" s="607">
        <v>2.5000000000000001E-2</v>
      </c>
      <c r="F7" s="608"/>
      <c r="G7" s="609"/>
      <c r="H7" s="599">
        <f>ROUND(E7*(H4),2)</f>
        <v>156.52000000000001</v>
      </c>
      <c r="I7" s="599" t="s">
        <v>197</v>
      </c>
      <c r="J7" s="594"/>
      <c r="M7" s="121"/>
      <c r="N7" s="121"/>
      <c r="O7" s="121"/>
    </row>
    <row r="8" spans="1:15">
      <c r="A8" s="592"/>
      <c r="B8" s="610" t="s">
        <v>347</v>
      </c>
      <c r="C8" s="611" t="s">
        <v>348</v>
      </c>
      <c r="D8" s="611"/>
      <c r="E8" s="612">
        <v>5.1999999999999998E-2</v>
      </c>
      <c r="F8" s="613"/>
      <c r="G8" s="614"/>
      <c r="H8" s="599">
        <f>ROUND(E8*(H4+H7),2)</f>
        <v>333.7</v>
      </c>
      <c r="I8" s="599" t="s">
        <v>199</v>
      </c>
      <c r="J8" s="594"/>
      <c r="M8" s="121"/>
      <c r="N8" s="121"/>
      <c r="O8" s="121"/>
    </row>
    <row r="9" spans="1:15">
      <c r="A9" s="592"/>
      <c r="B9" s="977" t="s">
        <v>349</v>
      </c>
      <c r="C9" s="977"/>
      <c r="D9" s="977"/>
      <c r="E9" s="978"/>
      <c r="F9" s="978"/>
      <c r="G9" s="977"/>
      <c r="H9" s="601">
        <f>H7+H8</f>
        <v>490.22</v>
      </c>
      <c r="I9" s="594"/>
      <c r="J9" s="594"/>
      <c r="M9" s="121"/>
      <c r="N9" s="121"/>
      <c r="O9" s="121"/>
    </row>
    <row r="10" spans="1:15">
      <c r="A10" s="592"/>
      <c r="B10" s="615" t="s">
        <v>350</v>
      </c>
      <c r="C10" s="616" t="s">
        <v>351</v>
      </c>
      <c r="D10" s="617"/>
      <c r="E10" s="618">
        <f>SUM(D11:D13)</f>
        <v>0.14250000000000002</v>
      </c>
      <c r="F10" s="619"/>
      <c r="G10" s="620"/>
      <c r="H10" s="601">
        <f>E10*H14</f>
        <v>1121.9025000000001</v>
      </c>
      <c r="I10" s="594"/>
      <c r="J10" s="594"/>
      <c r="M10" s="121"/>
      <c r="N10" s="121"/>
      <c r="O10" s="121"/>
    </row>
    <row r="11" spans="1:15">
      <c r="A11" s="592"/>
      <c r="B11" s="606" t="s">
        <v>352</v>
      </c>
      <c r="C11" s="621" t="s">
        <v>353</v>
      </c>
      <c r="D11" s="622">
        <v>0.05</v>
      </c>
      <c r="E11" s="623"/>
      <c r="F11" s="624"/>
      <c r="G11" s="624"/>
      <c r="H11" s="625"/>
      <c r="I11" s="594"/>
      <c r="J11" s="594"/>
      <c r="M11" s="121"/>
      <c r="N11" s="121"/>
      <c r="O11" s="121"/>
    </row>
    <row r="12" spans="1:15">
      <c r="A12" s="592"/>
      <c r="B12" s="606" t="s">
        <v>354</v>
      </c>
      <c r="C12" s="621" t="s">
        <v>355</v>
      </c>
      <c r="D12" s="622">
        <v>1.6500000000000001E-2</v>
      </c>
      <c r="E12" s="626"/>
      <c r="F12" s="627"/>
      <c r="G12" s="627"/>
      <c r="H12" s="625"/>
      <c r="I12" s="594"/>
      <c r="J12" s="594"/>
      <c r="M12" s="121"/>
      <c r="N12" s="121"/>
      <c r="O12" s="121"/>
    </row>
    <row r="13" spans="1:15">
      <c r="A13" s="592"/>
      <c r="B13" s="628" t="s">
        <v>356</v>
      </c>
      <c r="C13" s="621" t="s">
        <v>357</v>
      </c>
      <c r="D13" s="622">
        <v>7.5999999999999998E-2</v>
      </c>
      <c r="E13" s="626"/>
      <c r="F13" s="627"/>
      <c r="G13" s="627"/>
      <c r="H13" s="629"/>
      <c r="I13" s="594"/>
      <c r="J13" s="594"/>
      <c r="M13" s="121"/>
      <c r="N13" s="121"/>
      <c r="O13" s="121"/>
    </row>
    <row r="14" spans="1:15" ht="18" customHeight="1">
      <c r="A14" s="592"/>
      <c r="B14" s="979" t="s">
        <v>358</v>
      </c>
      <c r="C14" s="980"/>
      <c r="D14" s="980"/>
      <c r="E14" s="980"/>
      <c r="F14" s="980"/>
      <c r="G14" s="981"/>
      <c r="H14" s="630">
        <f>ROUND((H4+H7+H8)/(1-E10),2)</f>
        <v>7873</v>
      </c>
      <c r="I14" s="594"/>
      <c r="J14" s="631"/>
      <c r="K14" s="275"/>
    </row>
    <row r="15" spans="1:15" ht="18" customHeight="1">
      <c r="A15" s="592"/>
      <c r="B15" s="345"/>
      <c r="C15" s="345"/>
      <c r="D15" s="345"/>
      <c r="E15" s="345"/>
      <c r="F15" s="345"/>
      <c r="G15" s="345"/>
      <c r="H15" s="594"/>
      <c r="I15" s="594"/>
      <c r="J15" s="631"/>
    </row>
    <row r="16" spans="1:15">
      <c r="A16" s="592"/>
      <c r="B16" s="345"/>
      <c r="C16" s="345"/>
      <c r="D16" s="345"/>
      <c r="E16" s="345"/>
      <c r="F16" s="345"/>
      <c r="G16" s="632" t="s">
        <v>359</v>
      </c>
      <c r="H16" s="633">
        <f>(H10+H9)/(H4)</f>
        <v>0.2574913590421794</v>
      </c>
      <c r="I16" s="594"/>
      <c r="J16" s="593"/>
    </row>
    <row r="17" spans="1:245">
      <c r="A17" s="592"/>
      <c r="B17" s="345"/>
      <c r="C17" s="345"/>
      <c r="D17" s="345"/>
      <c r="E17" s="345"/>
      <c r="F17" s="345"/>
      <c r="G17" s="345"/>
      <c r="H17" s="345"/>
      <c r="I17" s="345"/>
      <c r="J17" s="593"/>
    </row>
    <row r="18" spans="1:245">
      <c r="A18" s="592"/>
      <c r="B18" s="970" t="s">
        <v>360</v>
      </c>
      <c r="C18" s="970"/>
      <c r="D18" s="970"/>
      <c r="E18" s="970"/>
      <c r="F18" s="970"/>
      <c r="G18" s="970"/>
      <c r="H18" s="970"/>
      <c r="I18" s="345"/>
      <c r="J18" s="593"/>
    </row>
    <row r="19" spans="1:245" ht="52.5" customHeight="1">
      <c r="A19" s="592"/>
      <c r="B19" s="345"/>
      <c r="C19" s="634" t="s">
        <v>267</v>
      </c>
      <c r="D19" s="635" t="s">
        <v>337</v>
      </c>
      <c r="E19" s="634" t="s">
        <v>338</v>
      </c>
      <c r="F19" s="635" t="s">
        <v>361</v>
      </c>
      <c r="G19" s="635" t="s">
        <v>362</v>
      </c>
      <c r="H19" s="635" t="s">
        <v>363</v>
      </c>
      <c r="I19" s="345"/>
      <c r="J19" s="593"/>
    </row>
    <row r="20" spans="1:245">
      <c r="A20" s="592"/>
      <c r="B20" s="345"/>
      <c r="C20" s="383" t="str">
        <f>C5</f>
        <v>Garçom</v>
      </c>
      <c r="D20" s="383" t="str">
        <f>D5</f>
        <v>Posto</v>
      </c>
      <c r="E20" s="383">
        <f>'Descrição postos'!E7</f>
        <v>12</v>
      </c>
      <c r="F20" s="636">
        <f>H14</f>
        <v>7873</v>
      </c>
      <c r="G20" s="636">
        <f>F20*E20</f>
        <v>94476</v>
      </c>
      <c r="H20" s="636">
        <f>G20*12</f>
        <v>1133712</v>
      </c>
      <c r="I20" s="345"/>
      <c r="J20" s="593"/>
    </row>
    <row r="21" spans="1:245">
      <c r="A21" s="592"/>
      <c r="B21" s="345"/>
      <c r="C21" s="345"/>
      <c r="D21" s="345"/>
      <c r="E21" s="345"/>
      <c r="F21" s="345"/>
      <c r="G21" s="345"/>
      <c r="H21" s="594"/>
      <c r="I21" s="594"/>
      <c r="J21" s="593"/>
    </row>
    <row r="22" spans="1:245">
      <c r="A22" s="592"/>
      <c r="B22" s="345"/>
      <c r="C22" s="345"/>
      <c r="D22" s="345"/>
      <c r="E22" s="345"/>
      <c r="F22" s="345"/>
      <c r="G22" s="345"/>
      <c r="H22" s="594"/>
      <c r="I22" s="594"/>
      <c r="J22" s="593"/>
    </row>
    <row r="23" spans="1:245">
      <c r="A23" s="592"/>
      <c r="B23" s="345"/>
      <c r="C23" s="345"/>
      <c r="D23" s="345"/>
      <c r="E23" s="345"/>
      <c r="F23" s="345"/>
      <c r="G23" s="345"/>
      <c r="H23" s="594"/>
      <c r="I23" s="594"/>
      <c r="J23" s="593"/>
    </row>
    <row r="24" spans="1:245">
      <c r="A24" s="592"/>
      <c r="B24" s="345"/>
      <c r="C24" s="345"/>
      <c r="D24" s="345"/>
      <c r="E24" s="345"/>
      <c r="F24" s="345"/>
      <c r="G24" s="345"/>
      <c r="H24" s="594"/>
      <c r="I24" s="594"/>
      <c r="J24" s="593"/>
    </row>
    <row r="25" spans="1:245">
      <c r="A25" s="592"/>
      <c r="B25" s="965" t="s">
        <v>364</v>
      </c>
      <c r="C25" s="966"/>
      <c r="D25" s="966"/>
      <c r="E25" s="966"/>
      <c r="F25" s="966"/>
      <c r="G25" s="966"/>
      <c r="H25" s="967"/>
      <c r="I25" s="594"/>
      <c r="J25" s="593"/>
    </row>
    <row r="26" spans="1:245" s="119" customFormat="1" ht="31.5">
      <c r="A26" s="345"/>
      <c r="B26" s="595" t="s">
        <v>127</v>
      </c>
      <c r="C26" s="595" t="s">
        <v>267</v>
      </c>
      <c r="D26" s="595" t="s">
        <v>337</v>
      </c>
      <c r="E26" s="595" t="s">
        <v>338</v>
      </c>
      <c r="F26" s="596" t="s">
        <v>339</v>
      </c>
      <c r="G26" s="596" t="s">
        <v>340</v>
      </c>
      <c r="H26" s="597" t="s">
        <v>341</v>
      </c>
      <c r="I26" s="594"/>
      <c r="J26" s="593"/>
      <c r="K26" s="121"/>
      <c r="L26" s="121"/>
      <c r="IE26" s="120"/>
      <c r="IF26" s="120"/>
      <c r="IG26" s="120"/>
      <c r="IH26" s="120"/>
      <c r="II26" s="120"/>
      <c r="IJ26" s="120"/>
      <c r="IK26" s="120"/>
    </row>
    <row r="27" spans="1:245">
      <c r="A27" s="592"/>
      <c r="B27" s="598">
        <v>1</v>
      </c>
      <c r="C27" s="971" t="s">
        <v>365</v>
      </c>
      <c r="D27" s="971"/>
      <c r="E27" s="971"/>
      <c r="F27" s="971"/>
      <c r="G27" s="972"/>
      <c r="H27" s="599">
        <f>ROUND(SUM(G28),2)</f>
        <v>4885.59</v>
      </c>
      <c r="I27" s="599" t="s">
        <v>195</v>
      </c>
      <c r="J27" s="593"/>
      <c r="K27" s="224"/>
    </row>
    <row r="28" spans="1:245">
      <c r="A28" s="592"/>
      <c r="B28" s="600" t="s">
        <v>343</v>
      </c>
      <c r="C28" s="600" t="str">
        <f>'Descrição postos'!C8</f>
        <v>Copeiro</v>
      </c>
      <c r="D28" s="600" t="str">
        <f>'Descrição postos'!C6</f>
        <v>Posto</v>
      </c>
      <c r="E28" s="600">
        <v>1</v>
      </c>
      <c r="F28" s="601">
        <f>'2_Copeiro'!E73</f>
        <v>4885.5889515777035</v>
      </c>
      <c r="G28" s="601">
        <f>ROUND(E28*F28,2)</f>
        <v>4885.59</v>
      </c>
      <c r="H28" s="602"/>
      <c r="I28" s="594"/>
      <c r="J28" s="593"/>
    </row>
    <row r="29" spans="1:245" ht="39.75" customHeight="1">
      <c r="A29" s="592"/>
      <c r="B29" s="603">
        <v>6</v>
      </c>
      <c r="C29" s="972" t="s">
        <v>366</v>
      </c>
      <c r="D29" s="976"/>
      <c r="E29" s="976"/>
      <c r="F29" s="604"/>
      <c r="G29" s="604"/>
      <c r="H29" s="605"/>
      <c r="I29" s="594"/>
      <c r="J29" s="593"/>
    </row>
    <row r="30" spans="1:245">
      <c r="A30" s="592"/>
      <c r="B30" s="606" t="s">
        <v>345</v>
      </c>
      <c r="C30" s="600" t="s">
        <v>346</v>
      </c>
      <c r="D30" s="600"/>
      <c r="E30" s="607">
        <v>2.5000000000000001E-2</v>
      </c>
      <c r="F30" s="608"/>
      <c r="G30" s="609"/>
      <c r="H30" s="599">
        <f>ROUND(E30*(H27),2)</f>
        <v>122.14</v>
      </c>
      <c r="I30" s="599" t="s">
        <v>197</v>
      </c>
      <c r="J30" s="593"/>
    </row>
    <row r="31" spans="1:245">
      <c r="A31" s="592"/>
      <c r="B31" s="610" t="s">
        <v>347</v>
      </c>
      <c r="C31" s="611" t="s">
        <v>348</v>
      </c>
      <c r="D31" s="611"/>
      <c r="E31" s="612">
        <v>5.1999999999999998E-2</v>
      </c>
      <c r="F31" s="613"/>
      <c r="G31" s="614"/>
      <c r="H31" s="599">
        <f>ROUND(E31*(H27+H30),2)</f>
        <v>260.39999999999998</v>
      </c>
      <c r="I31" s="599" t="s">
        <v>199</v>
      </c>
      <c r="J31" s="593"/>
    </row>
    <row r="32" spans="1:245">
      <c r="A32" s="592"/>
      <c r="B32" s="977" t="s">
        <v>349</v>
      </c>
      <c r="C32" s="977"/>
      <c r="D32" s="977"/>
      <c r="E32" s="978"/>
      <c r="F32" s="978"/>
      <c r="G32" s="977"/>
      <c r="H32" s="601">
        <f>H30+H31</f>
        <v>382.53999999999996</v>
      </c>
      <c r="I32" s="594"/>
      <c r="J32" s="593"/>
    </row>
    <row r="33" spans="1:10">
      <c r="A33" s="592"/>
      <c r="B33" s="615" t="s">
        <v>350</v>
      </c>
      <c r="C33" s="616" t="s">
        <v>351</v>
      </c>
      <c r="D33" s="617"/>
      <c r="E33" s="637">
        <f>SUM(D34:D36)</f>
        <v>0.14250000000000002</v>
      </c>
      <c r="F33" s="638"/>
      <c r="G33" s="638"/>
      <c r="H33" s="601">
        <f>E33*H37</f>
        <v>875.46157500000015</v>
      </c>
      <c r="I33" s="594"/>
      <c r="J33" s="593"/>
    </row>
    <row r="34" spans="1:10">
      <c r="A34" s="592"/>
      <c r="B34" s="606" t="s">
        <v>352</v>
      </c>
      <c r="C34" s="621" t="s">
        <v>353</v>
      </c>
      <c r="D34" s="622">
        <v>0.05</v>
      </c>
      <c r="E34" s="623"/>
      <c r="F34" s="624"/>
      <c r="G34" s="624"/>
      <c r="H34" s="625"/>
      <c r="I34" s="594"/>
      <c r="J34" s="593"/>
    </row>
    <row r="35" spans="1:10">
      <c r="A35" s="592"/>
      <c r="B35" s="606" t="s">
        <v>354</v>
      </c>
      <c r="C35" s="621" t="s">
        <v>355</v>
      </c>
      <c r="D35" s="622">
        <v>1.6500000000000001E-2</v>
      </c>
      <c r="E35" s="626"/>
      <c r="F35" s="627"/>
      <c r="G35" s="627"/>
      <c r="H35" s="625"/>
      <c r="I35" s="594"/>
      <c r="J35" s="593"/>
    </row>
    <row r="36" spans="1:10">
      <c r="A36" s="592"/>
      <c r="B36" s="628" t="s">
        <v>356</v>
      </c>
      <c r="C36" s="621" t="s">
        <v>357</v>
      </c>
      <c r="D36" s="622">
        <v>7.5999999999999998E-2</v>
      </c>
      <c r="E36" s="626"/>
      <c r="F36" s="627"/>
      <c r="G36" s="627"/>
      <c r="H36" s="629"/>
      <c r="I36" s="594"/>
      <c r="J36" s="593"/>
    </row>
    <row r="37" spans="1:10">
      <c r="A37" s="592"/>
      <c r="B37" s="969" t="s">
        <v>358</v>
      </c>
      <c r="C37" s="969"/>
      <c r="D37" s="969"/>
      <c r="E37" s="969"/>
      <c r="F37" s="969"/>
      <c r="G37" s="598"/>
      <c r="H37" s="630">
        <f>ROUND((H27+H30+H31)/(1-E33),2)</f>
        <v>6143.59</v>
      </c>
      <c r="I37" s="594"/>
      <c r="J37" s="593"/>
    </row>
    <row r="38" spans="1:10">
      <c r="A38" s="592"/>
      <c r="B38" s="345"/>
      <c r="C38" s="345"/>
      <c r="D38" s="345"/>
      <c r="E38" s="345"/>
      <c r="F38" s="345"/>
      <c r="G38" s="345"/>
      <c r="H38" s="594"/>
      <c r="I38" s="594"/>
      <c r="J38" s="593"/>
    </row>
    <row r="39" spans="1:10">
      <c r="A39" s="592"/>
      <c r="B39" s="345"/>
      <c r="C39" s="345"/>
      <c r="D39" s="345"/>
      <c r="E39" s="345"/>
      <c r="F39" s="345"/>
      <c r="G39" s="632" t="s">
        <v>359</v>
      </c>
      <c r="H39" s="633">
        <f>(H33+H32)/(H27)</f>
        <v>0.25749225272689691</v>
      </c>
      <c r="I39" s="594"/>
      <c r="J39" s="593"/>
    </row>
    <row r="40" spans="1:10">
      <c r="A40" s="592"/>
      <c r="B40" s="345"/>
      <c r="C40" s="345"/>
      <c r="D40" s="345"/>
      <c r="E40" s="345"/>
      <c r="F40" s="345"/>
      <c r="G40" s="345"/>
      <c r="H40" s="594"/>
      <c r="I40" s="594"/>
      <c r="J40" s="593"/>
    </row>
    <row r="41" spans="1:10">
      <c r="A41" s="592"/>
      <c r="B41" s="345"/>
      <c r="C41" s="345"/>
      <c r="D41" s="345"/>
      <c r="E41" s="345"/>
      <c r="F41" s="345"/>
      <c r="G41" s="345"/>
      <c r="H41" s="594"/>
      <c r="I41" s="594"/>
      <c r="J41" s="593"/>
    </row>
    <row r="42" spans="1:10">
      <c r="A42" s="592"/>
      <c r="B42" s="345"/>
      <c r="C42" s="345"/>
      <c r="D42" s="345"/>
      <c r="E42" s="345"/>
      <c r="F42" s="345"/>
      <c r="G42" s="345"/>
      <c r="H42" s="594"/>
      <c r="I42" s="594"/>
      <c r="J42" s="593"/>
    </row>
    <row r="43" spans="1:10">
      <c r="A43" s="592"/>
      <c r="B43" s="970" t="s">
        <v>367</v>
      </c>
      <c r="C43" s="970"/>
      <c r="D43" s="970"/>
      <c r="E43" s="970"/>
      <c r="F43" s="970"/>
      <c r="G43" s="970"/>
      <c r="H43" s="970"/>
      <c r="I43" s="594"/>
      <c r="J43" s="593"/>
    </row>
    <row r="44" spans="1:10" ht="47.25">
      <c r="A44" s="592"/>
      <c r="B44" s="345"/>
      <c r="C44" s="634" t="s">
        <v>267</v>
      </c>
      <c r="D44" s="635" t="s">
        <v>337</v>
      </c>
      <c r="E44" s="634" t="s">
        <v>338</v>
      </c>
      <c r="F44" s="635" t="s">
        <v>361</v>
      </c>
      <c r="G44" s="635" t="s">
        <v>362</v>
      </c>
      <c r="H44" s="635" t="s">
        <v>363</v>
      </c>
      <c r="I44" s="594"/>
      <c r="J44" s="593"/>
    </row>
    <row r="45" spans="1:10">
      <c r="A45" s="592"/>
      <c r="B45" s="345"/>
      <c r="C45" s="383" t="str">
        <f>C28</f>
        <v>Copeiro</v>
      </c>
      <c r="D45" s="383" t="str">
        <f>D28</f>
        <v>Posto</v>
      </c>
      <c r="E45" s="383">
        <f>'Descrição postos'!E8</f>
        <v>4</v>
      </c>
      <c r="F45" s="636">
        <f>H37</f>
        <v>6143.59</v>
      </c>
      <c r="G45" s="636">
        <f>F45*E45</f>
        <v>24574.36</v>
      </c>
      <c r="H45" s="636">
        <f>G45*12</f>
        <v>294892.32</v>
      </c>
      <c r="I45" s="594"/>
      <c r="J45" s="593"/>
    </row>
    <row r="46" spans="1:10">
      <c r="A46" s="592"/>
      <c r="B46" s="345"/>
      <c r="C46" s="345"/>
      <c r="D46" s="345"/>
      <c r="E46" s="345"/>
      <c r="F46" s="345"/>
      <c r="G46" s="345"/>
      <c r="H46" s="594"/>
      <c r="I46" s="594"/>
      <c r="J46" s="593"/>
    </row>
    <row r="47" spans="1:10">
      <c r="A47" s="592"/>
      <c r="B47" s="345"/>
      <c r="C47" s="345"/>
      <c r="D47" s="345"/>
      <c r="E47" s="345"/>
      <c r="F47" s="345"/>
      <c r="G47" s="345"/>
      <c r="H47" s="594"/>
      <c r="I47" s="594"/>
      <c r="J47" s="593"/>
    </row>
    <row r="48" spans="1:10">
      <c r="A48" s="592"/>
      <c r="B48" s="345"/>
      <c r="C48" s="345"/>
      <c r="D48" s="345"/>
      <c r="E48" s="345"/>
      <c r="F48" s="345"/>
      <c r="G48" s="345"/>
      <c r="H48" s="594"/>
      <c r="I48" s="594"/>
      <c r="J48" s="593"/>
    </row>
    <row r="49" spans="1:10">
      <c r="A49" s="592"/>
      <c r="B49" s="970" t="s">
        <v>368</v>
      </c>
      <c r="C49" s="970"/>
      <c r="D49" s="970"/>
      <c r="E49" s="970"/>
      <c r="F49" s="970"/>
      <c r="G49" s="970"/>
      <c r="H49" s="970"/>
      <c r="I49" s="594"/>
      <c r="J49" s="593"/>
    </row>
    <row r="50" spans="1:10" ht="31.5">
      <c r="A50" s="592"/>
      <c r="B50" s="345"/>
      <c r="C50" s="639" t="s">
        <v>267</v>
      </c>
      <c r="D50" s="640" t="s">
        <v>337</v>
      </c>
      <c r="E50" s="639" t="s">
        <v>338</v>
      </c>
      <c r="F50" s="640" t="s">
        <v>134</v>
      </c>
      <c r="G50" s="640" t="s">
        <v>369</v>
      </c>
      <c r="H50" s="593"/>
      <c r="I50" s="594"/>
      <c r="J50" s="593"/>
    </row>
    <row r="51" spans="1:10">
      <c r="A51" s="592"/>
      <c r="B51" s="345"/>
      <c r="C51" s="383" t="s">
        <v>370</v>
      </c>
      <c r="D51" s="383" t="s">
        <v>371</v>
      </c>
      <c r="E51" s="383">
        <f>'Descrição postos'!E14</f>
        <v>12</v>
      </c>
      <c r="F51" s="636">
        <f>G20</f>
        <v>94476</v>
      </c>
      <c r="G51" s="636">
        <f>F51*E51</f>
        <v>1133712</v>
      </c>
      <c r="H51" s="593"/>
      <c r="I51" s="594"/>
      <c r="J51" s="593"/>
    </row>
    <row r="52" spans="1:10">
      <c r="A52" s="592"/>
      <c r="B52" s="345"/>
      <c r="C52" s="383" t="s">
        <v>372</v>
      </c>
      <c r="D52" s="383" t="s">
        <v>371</v>
      </c>
      <c r="E52" s="383">
        <v>12</v>
      </c>
      <c r="F52" s="636">
        <f>G45</f>
        <v>24574.36</v>
      </c>
      <c r="G52" s="636">
        <f t="shared" ref="G52" si="0">F52*E52</f>
        <v>294892.32</v>
      </c>
      <c r="H52" s="593"/>
      <c r="I52" s="594"/>
      <c r="J52" s="593"/>
    </row>
    <row r="53" spans="1:10">
      <c r="A53" s="592"/>
      <c r="B53" s="345"/>
      <c r="C53" s="383" t="s">
        <v>373</v>
      </c>
      <c r="D53" s="383" t="s">
        <v>371</v>
      </c>
      <c r="E53" s="383">
        <v>12</v>
      </c>
      <c r="F53" s="636">
        <f>'Materiais sob demanda'!I13</f>
        <v>3886.8500000000004</v>
      </c>
      <c r="G53" s="636">
        <f>F53*E53</f>
        <v>46642.200000000004</v>
      </c>
      <c r="H53" s="593"/>
      <c r="I53" s="594"/>
      <c r="J53" s="593"/>
    </row>
    <row r="54" spans="1:10">
      <c r="A54" s="592"/>
      <c r="B54" s="345"/>
      <c r="C54" s="973" t="s">
        <v>374</v>
      </c>
      <c r="D54" s="974"/>
      <c r="E54" s="974"/>
      <c r="F54" s="975"/>
      <c r="G54" s="636">
        <f>SUM(G51:G53)</f>
        <v>1475246.52</v>
      </c>
      <c r="H54" s="594"/>
      <c r="I54" s="594"/>
      <c r="J54" s="593"/>
    </row>
    <row r="55" spans="1:10">
      <c r="A55" s="592"/>
      <c r="B55" s="345"/>
      <c r="C55" s="345"/>
      <c r="D55" s="345"/>
      <c r="E55" s="345"/>
      <c r="F55" s="345"/>
      <c r="G55" s="345"/>
      <c r="H55" s="594"/>
      <c r="I55" s="594"/>
      <c r="J55" s="593"/>
    </row>
    <row r="56" spans="1:10">
      <c r="A56" s="592"/>
      <c r="B56" s="345"/>
      <c r="C56" s="345"/>
      <c r="D56" s="345"/>
      <c r="E56" s="345"/>
      <c r="F56" s="345"/>
      <c r="G56" s="345"/>
      <c r="H56" s="594"/>
      <c r="I56" s="594"/>
      <c r="J56" s="593"/>
    </row>
    <row r="57" spans="1:10">
      <c r="A57" s="592"/>
      <c r="B57" s="345"/>
      <c r="C57" s="345"/>
      <c r="D57" s="345"/>
      <c r="E57" s="345"/>
      <c r="F57" s="345"/>
      <c r="G57" s="345"/>
      <c r="H57" s="594"/>
      <c r="I57" s="594"/>
      <c r="J57" s="593"/>
    </row>
    <row r="58" spans="1:10">
      <c r="A58" s="592"/>
      <c r="B58" s="345"/>
      <c r="C58" s="345"/>
      <c r="D58" s="345"/>
      <c r="E58" s="345"/>
      <c r="F58" s="345"/>
      <c r="G58" s="345"/>
      <c r="H58" s="594"/>
      <c r="I58" s="594"/>
      <c r="J58" s="593"/>
    </row>
    <row r="59" spans="1:10" ht="51.75" customHeight="1">
      <c r="A59" s="592"/>
      <c r="B59" s="982" t="s">
        <v>184</v>
      </c>
      <c r="C59" s="983"/>
      <c r="D59" s="641"/>
      <c r="E59" s="641"/>
      <c r="F59" s="641"/>
      <c r="G59" s="641"/>
      <c r="H59" s="594"/>
      <c r="I59" s="594"/>
      <c r="J59" s="593"/>
    </row>
    <row r="60" spans="1:10" ht="27.75" customHeight="1">
      <c r="A60" s="592"/>
      <c r="B60" s="332">
        <v>1</v>
      </c>
      <c r="C60" s="968" t="s">
        <v>375</v>
      </c>
      <c r="D60" s="968"/>
      <c r="E60" s="968"/>
      <c r="F60" s="968"/>
      <c r="G60" s="968"/>
      <c r="H60" s="642"/>
      <c r="I60" s="594"/>
      <c r="J60" s="593"/>
    </row>
    <row r="61" spans="1:10" ht="62.1" customHeight="1">
      <c r="A61" s="592"/>
      <c r="B61" s="332">
        <f>B60+1</f>
        <v>2</v>
      </c>
      <c r="C61" s="968" t="s">
        <v>376</v>
      </c>
      <c r="D61" s="968"/>
      <c r="E61" s="968"/>
      <c r="F61" s="968"/>
      <c r="G61" s="968"/>
      <c r="H61" s="594"/>
      <c r="I61" s="594"/>
      <c r="J61" s="593"/>
    </row>
    <row r="62" spans="1:10" ht="131.25" customHeight="1">
      <c r="A62" s="592"/>
      <c r="B62" s="332">
        <f t="shared" ref="B62:B66" si="1">B61+1</f>
        <v>3</v>
      </c>
      <c r="C62" s="968" t="s">
        <v>377</v>
      </c>
      <c r="D62" s="968"/>
      <c r="E62" s="968"/>
      <c r="F62" s="968"/>
      <c r="G62" s="968"/>
      <c r="H62" s="594"/>
      <c r="I62" s="594"/>
      <c r="J62" s="593"/>
    </row>
    <row r="63" spans="1:10" ht="136.5" customHeight="1">
      <c r="A63" s="592"/>
      <c r="B63" s="332">
        <f t="shared" si="1"/>
        <v>4</v>
      </c>
      <c r="C63" s="730" t="s">
        <v>378</v>
      </c>
      <c r="D63" s="731"/>
      <c r="E63" s="731"/>
      <c r="F63" s="731"/>
      <c r="G63" s="732"/>
      <c r="H63" s="594"/>
      <c r="I63" s="594"/>
      <c r="J63" s="593"/>
    </row>
    <row r="64" spans="1:10" ht="59.25" customHeight="1">
      <c r="A64" s="592"/>
      <c r="B64" s="332">
        <f t="shared" si="1"/>
        <v>5</v>
      </c>
      <c r="C64" s="730" t="s">
        <v>379</v>
      </c>
      <c r="D64" s="731"/>
      <c r="E64" s="731"/>
      <c r="F64" s="731"/>
      <c r="G64" s="732"/>
      <c r="H64" s="594"/>
      <c r="I64" s="594"/>
      <c r="J64" s="593"/>
    </row>
    <row r="65" spans="1:10" ht="99.75" customHeight="1">
      <c r="A65" s="592"/>
      <c r="B65" s="332">
        <f t="shared" si="1"/>
        <v>6</v>
      </c>
      <c r="C65" s="730" t="s">
        <v>380</v>
      </c>
      <c r="D65" s="731"/>
      <c r="E65" s="731"/>
      <c r="F65" s="731"/>
      <c r="G65" s="732"/>
      <c r="H65" s="594"/>
      <c r="I65" s="594"/>
      <c r="J65" s="593"/>
    </row>
    <row r="66" spans="1:10" ht="39" customHeight="1">
      <c r="A66" s="592"/>
      <c r="B66" s="332">
        <f t="shared" si="1"/>
        <v>7</v>
      </c>
      <c r="C66" s="968" t="s">
        <v>381</v>
      </c>
      <c r="D66" s="968"/>
      <c r="E66" s="968"/>
      <c r="F66" s="968"/>
      <c r="G66" s="968"/>
      <c r="H66" s="594"/>
      <c r="I66" s="594"/>
      <c r="J66" s="593"/>
    </row>
    <row r="67" spans="1:10">
      <c r="A67" s="592"/>
      <c r="B67" s="345"/>
      <c r="C67" s="345"/>
      <c r="D67" s="345"/>
      <c r="E67" s="345"/>
      <c r="F67" s="345"/>
      <c r="G67" s="345"/>
      <c r="H67" s="594"/>
      <c r="I67" s="594"/>
      <c r="J67" s="593"/>
    </row>
    <row r="68" spans="1:10">
      <c r="A68" s="592"/>
      <c r="B68" s="345"/>
      <c r="C68" s="345"/>
      <c r="D68" s="345"/>
      <c r="E68" s="345"/>
      <c r="F68" s="345"/>
      <c r="G68" s="345"/>
      <c r="H68" s="594"/>
      <c r="I68" s="594"/>
      <c r="J68" s="593"/>
    </row>
    <row r="69" spans="1:10">
      <c r="A69" s="592"/>
      <c r="B69" s="345"/>
      <c r="C69" s="345"/>
      <c r="D69" s="345"/>
      <c r="E69" s="345"/>
      <c r="F69" s="345"/>
      <c r="G69" s="345"/>
      <c r="H69" s="594"/>
      <c r="I69" s="594"/>
      <c r="J69" s="593"/>
    </row>
    <row r="70" spans="1:10">
      <c r="A70" s="592"/>
      <c r="B70" s="345"/>
      <c r="C70" s="345"/>
      <c r="D70" s="345"/>
      <c r="E70" s="345"/>
      <c r="F70" s="345"/>
      <c r="G70" s="345"/>
      <c r="H70" s="594"/>
      <c r="I70" s="594"/>
      <c r="J70" s="593"/>
    </row>
    <row r="71" spans="1:10">
      <c r="A71" s="592"/>
      <c r="B71" s="345"/>
      <c r="C71" s="345"/>
      <c r="D71" s="345"/>
      <c r="E71" s="345"/>
      <c r="F71" s="345"/>
      <c r="G71" s="345"/>
      <c r="H71" s="594"/>
      <c r="I71" s="594"/>
      <c r="J71" s="593"/>
    </row>
  </sheetData>
  <mergeCells count="22">
    <mergeCell ref="C66:G66"/>
    <mergeCell ref="C60:G60"/>
    <mergeCell ref="C63:G63"/>
    <mergeCell ref="B25:H25"/>
    <mergeCell ref="C27:G27"/>
    <mergeCell ref="B32:G32"/>
    <mergeCell ref="C29:E29"/>
    <mergeCell ref="B2:H2"/>
    <mergeCell ref="C64:G64"/>
    <mergeCell ref="C65:G65"/>
    <mergeCell ref="C61:G61"/>
    <mergeCell ref="C62:G62"/>
    <mergeCell ref="B37:F37"/>
    <mergeCell ref="B18:H18"/>
    <mergeCell ref="C4:G4"/>
    <mergeCell ref="B49:H49"/>
    <mergeCell ref="C54:F54"/>
    <mergeCell ref="B43:H43"/>
    <mergeCell ref="C6:E6"/>
    <mergeCell ref="B9:G9"/>
    <mergeCell ref="B14:G14"/>
    <mergeCell ref="B59:C59"/>
  </mergeCells>
  <printOptions horizontalCentered="1" verticalCentered="1"/>
  <pageMargins left="0.59055118110236204" right="0.39370078740157499" top="0.39370078740157499" bottom="0.59055118110236204" header="0.511811023622047" footer="0.511811023622047"/>
  <pageSetup paperSize="9" scale="32" firstPageNumber="0" orientation="landscape"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AB54B96A9EBBE47BC479647DCB38FA8" ma:contentTypeVersion="15" ma:contentTypeDescription="Crie um novo documento." ma:contentTypeScope="" ma:versionID="0ece75f4286cf6eb97c31a01e2804c79">
  <xsd:schema xmlns:xsd="http://www.w3.org/2001/XMLSchema" xmlns:xs="http://www.w3.org/2001/XMLSchema" xmlns:p="http://schemas.microsoft.com/office/2006/metadata/properties" xmlns:ns2="b11eb5c2-f216-426b-b97f-1b2556847d31" xmlns:ns3="5e75ea4f-23af-4a3c-ab4c-fdd2fe916c71" targetNamespace="http://schemas.microsoft.com/office/2006/metadata/properties" ma:root="true" ma:fieldsID="211c61e9d4cecc247d338375f08a9fc5" ns2:_="" ns3:_="">
    <xsd:import namespace="b11eb5c2-f216-426b-b97f-1b2556847d31"/>
    <xsd:import namespace="5e75ea4f-23af-4a3c-ab4c-fdd2fe916c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1eb5c2-f216-426b-b97f-1b2556847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50763be7-2c5e-4ee0-a9d0-09b2389b878d"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75ea4f-23af-4a3c-ab4c-fdd2fe916c71"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element name="TaxCatchAll" ma:index="18" nillable="true" ma:displayName="Taxonomy Catch All Column" ma:hidden="true" ma:list="{7c38b70c-cd02-4198-9c72-ed61757cafb4}" ma:internalName="TaxCatchAll" ma:showField="CatchAllData" ma:web="5e75ea4f-23af-4a3c-ab4c-fdd2fe916c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e75ea4f-23af-4a3c-ab4c-fdd2fe916c71" xsi:nil="true"/>
    <lcf76f155ced4ddcb4097134ff3c332f xmlns="b11eb5c2-f216-426b-b97f-1b2556847d3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557E58-3B45-414E-A9B2-D74C7D5EC3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1eb5c2-f216-426b-b97f-1b2556847d31"/>
    <ds:schemaRef ds:uri="5e75ea4f-23af-4a3c-ab4c-fdd2fe916c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E10C1B-2766-42EF-95C4-D08B6AAC76D8}">
  <ds:schemaRefs>
    <ds:schemaRef ds:uri="http://schemas.microsoft.com/office/2006/metadata/properties"/>
    <ds:schemaRef ds:uri="http://schemas.microsoft.com/office/infopath/2007/PartnerControls"/>
    <ds:schemaRef ds:uri="5e75ea4f-23af-4a3c-ab4c-fdd2fe916c71"/>
    <ds:schemaRef ds:uri="b11eb5c2-f216-426b-b97f-1b2556847d31"/>
  </ds:schemaRefs>
</ds:datastoreItem>
</file>

<file path=customXml/itemProps3.xml><?xml version="1.0" encoding="utf-8"?>
<ds:datastoreItem xmlns:ds="http://schemas.openxmlformats.org/officeDocument/2006/customXml" ds:itemID="{DF02CFFE-3793-4652-BCB5-4AD9CDC6A7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12</vt:i4>
      </vt:variant>
    </vt:vector>
  </HeadingPairs>
  <TitlesOfParts>
    <vt:vector size="26" baseType="lpstr">
      <vt:lpstr>Descrição postos</vt:lpstr>
      <vt:lpstr>Tarifas 2025</vt:lpstr>
      <vt:lpstr>Escalas, VT e VA</vt:lpstr>
      <vt:lpstr>Materiais sob demanda</vt:lpstr>
      <vt:lpstr>Uniformes</vt:lpstr>
      <vt:lpstr>Encargos Sociais</vt:lpstr>
      <vt:lpstr>1_Garçon</vt:lpstr>
      <vt:lpstr>2_Copeiro</vt:lpstr>
      <vt:lpstr>RESUMO_Preços</vt:lpstr>
      <vt:lpstr>Comparativos</vt:lpstr>
      <vt:lpstr>Comparativo</vt:lpstr>
      <vt:lpstr>Exemplo_Conf_PIS_E_Cofins_LP</vt:lpstr>
      <vt:lpstr>Exemplo_Preenchimento_PIS_e_Co</vt:lpstr>
      <vt:lpstr>Conta Vinculada</vt:lpstr>
      <vt:lpstr>'1_Garçon'!Area_de_impressao</vt:lpstr>
      <vt:lpstr>'2_Copeiro'!Area_de_impressao</vt:lpstr>
      <vt:lpstr>Comparativo!Area_de_impressao</vt:lpstr>
      <vt:lpstr>Comparativos!Area_de_impressao</vt:lpstr>
      <vt:lpstr>'Conta Vinculada'!Area_de_impressao</vt:lpstr>
      <vt:lpstr>'Descrição postos'!Area_de_impressao</vt:lpstr>
      <vt:lpstr>'Encargos Sociais'!Area_de_impressao</vt:lpstr>
      <vt:lpstr>'Escalas, VT e VA'!Area_de_impressao</vt:lpstr>
      <vt:lpstr>Exemplo_Conf_PIS_E_Cofins_LP!Area_de_impressao</vt:lpstr>
      <vt:lpstr>Exemplo_Preenchimento_PIS_e_Co!Area_de_impressao</vt:lpstr>
      <vt:lpstr>RESUMO_Preços!Area_de_impressao</vt:lpstr>
      <vt:lpstr>Uniformes!Area_de_impressao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nery</dc:creator>
  <cp:keywords/>
  <dc:description/>
  <cp:lastModifiedBy>Adriana.Santiago</cp:lastModifiedBy>
  <cp:revision>1</cp:revision>
  <dcterms:created xsi:type="dcterms:W3CDTF">2007-01-18T17:42:00Z</dcterms:created>
  <dcterms:modified xsi:type="dcterms:W3CDTF">2025-08-19T14:20:09Z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0x010100FAB54B96A9EBBE47BC479647DCB38FA8</vt:lpwstr>
  </property>
  <property fmtid="{D5CDD505-2E9C-101B-9397-08002B2CF9AE}" pid="3" name="MediaServiceImageTags">
    <vt:lpwstr/>
  </property>
  <property fmtid="{D5CDD505-2E9C-101B-9397-08002B2CF9AE}" pid="4" name="ICV">
    <vt:lpwstr>2B35706F1E4448049A543CD1E89BA787_12</vt:lpwstr>
  </property>
  <property fmtid="{D5CDD505-2E9C-101B-9397-08002B2CF9AE}" pid="5" name="KSOProductBuildVer">
    <vt:lpwstr>1046-12.2.0.16909</vt:lpwstr>
  </property>
</Properties>
</file>